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9\PTW\"/>
    </mc:Choice>
  </mc:AlternateContent>
  <xr:revisionPtr revIDLastSave="0" documentId="13_ncr:1_{F844DF5E-FB51-48E6-8BE0-D6D320411DE1}" xr6:coauthVersionLast="47" xr6:coauthVersionMax="47" xr10:uidLastSave="{00000000-0000-0000-0000-000000000000}"/>
  <bookViews>
    <workbookView xWindow="15060" yWindow="735" windowWidth="13725" windowHeight="14190" tabRatio="831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19" l="1"/>
  <c r="J29" i="19"/>
  <c r="J30" i="19"/>
  <c r="J31" i="19"/>
  <c r="J27" i="19"/>
  <c r="J26" i="19"/>
  <c r="J25" i="19"/>
  <c r="J13" i="19"/>
  <c r="J14" i="19"/>
  <c r="J15" i="19"/>
  <c r="J16" i="19"/>
  <c r="J12" i="19"/>
  <c r="I12" i="19"/>
  <c r="J11" i="19"/>
  <c r="J10" i="19"/>
  <c r="J7" i="25"/>
  <c r="J6" i="25"/>
  <c r="J5" i="25"/>
  <c r="J10" i="17"/>
  <c r="N10" i="28"/>
  <c r="J10" i="9"/>
  <c r="J7" i="24"/>
  <c r="J6" i="24"/>
  <c r="J5" i="24"/>
  <c r="J7" i="16"/>
  <c r="J6" i="16"/>
  <c r="J5" i="16"/>
  <c r="H10" i="9" l="1"/>
  <c r="I10" i="9"/>
  <c r="I5" i="16" l="1"/>
  <c r="I25" i="19" l="1"/>
  <c r="I31" i="19" s="1"/>
  <c r="I26" i="19"/>
  <c r="I27" i="19"/>
  <c r="I28" i="19"/>
  <c r="I29" i="19"/>
  <c r="I30" i="19"/>
  <c r="I10" i="19"/>
  <c r="I16" i="19" s="1"/>
  <c r="I11" i="19"/>
  <c r="I13" i="19"/>
  <c r="I14" i="19"/>
  <c r="I15" i="19"/>
  <c r="I5" i="25"/>
  <c r="I6" i="25"/>
  <c r="I7" i="25"/>
  <c r="I10" i="17"/>
  <c r="I5" i="24"/>
  <c r="I6" i="24" s="1"/>
  <c r="I7" i="24"/>
  <c r="I6" i="16"/>
  <c r="I7" i="16"/>
  <c r="H25" i="19" l="1"/>
  <c r="H31" i="19" s="1"/>
  <c r="H26" i="19"/>
  <c r="H30" i="19" s="1"/>
  <c r="H27" i="19"/>
  <c r="H28" i="19"/>
  <c r="H29" i="19"/>
  <c r="H13" i="19"/>
  <c r="H14" i="19"/>
  <c r="H15" i="19"/>
  <c r="H16" i="19"/>
  <c r="H12" i="19"/>
  <c r="H11" i="19"/>
  <c r="H10" i="19"/>
  <c r="H5" i="25"/>
  <c r="H6" i="25"/>
  <c r="H7" i="25"/>
  <c r="H10" i="17"/>
  <c r="F9" i="9"/>
  <c r="G9" i="9"/>
  <c r="H7" i="24"/>
  <c r="H6" i="24"/>
  <c r="H5" i="24"/>
  <c r="H7" i="16"/>
  <c r="H6" i="16"/>
  <c r="H5" i="16"/>
  <c r="G10" i="17" l="1"/>
  <c r="F10" i="17"/>
  <c r="B14" i="17"/>
  <c r="B21" i="19" l="1"/>
  <c r="C21" i="19"/>
  <c r="D21" i="19"/>
  <c r="E21" i="19"/>
  <c r="F21" i="19"/>
  <c r="G21" i="19"/>
  <c r="H21" i="19"/>
  <c r="I21" i="19"/>
  <c r="J21" i="19"/>
  <c r="K21" i="19"/>
  <c r="L21" i="19"/>
  <c r="M21" i="19"/>
  <c r="N21" i="19"/>
  <c r="B22" i="19"/>
  <c r="C22" i="19"/>
  <c r="D22" i="19"/>
  <c r="E22" i="19"/>
  <c r="E23" i="19" s="1"/>
  <c r="F22" i="19"/>
  <c r="N22" i="19" s="1"/>
  <c r="G22" i="19"/>
  <c r="G23" i="19" s="1"/>
  <c r="H22" i="19"/>
  <c r="H23" i="19" s="1"/>
  <c r="I22" i="19"/>
  <c r="I23" i="19" s="1"/>
  <c r="J22" i="19"/>
  <c r="K22" i="19"/>
  <c r="L22" i="19"/>
  <c r="M22" i="19"/>
  <c r="M23" i="19" s="1"/>
  <c r="B23" i="19"/>
  <c r="C23" i="19"/>
  <c r="D23" i="19"/>
  <c r="J23" i="19"/>
  <c r="K23" i="19"/>
  <c r="L23" i="19"/>
  <c r="B25" i="19"/>
  <c r="N25" i="19" s="1"/>
  <c r="C25" i="19"/>
  <c r="D25" i="19"/>
  <c r="D29" i="19" s="1"/>
  <c r="E25" i="19"/>
  <c r="F25" i="19"/>
  <c r="F31" i="19" s="1"/>
  <c r="G25" i="19"/>
  <c r="G29" i="19" s="1"/>
  <c r="B26" i="19"/>
  <c r="B27" i="19" s="1"/>
  <c r="C26" i="19"/>
  <c r="C27" i="19" s="1"/>
  <c r="D26" i="19"/>
  <c r="E26" i="19"/>
  <c r="E27" i="19" s="1"/>
  <c r="F26" i="19"/>
  <c r="F27" i="19" s="1"/>
  <c r="G26" i="19"/>
  <c r="G27" i="19" s="1"/>
  <c r="G28" i="19" s="1"/>
  <c r="N26" i="19"/>
  <c r="N30" i="19" s="1"/>
  <c r="B29" i="19"/>
  <c r="C29" i="19"/>
  <c r="B30" i="19"/>
  <c r="C30" i="19"/>
  <c r="D30" i="19"/>
  <c r="F13" i="19"/>
  <c r="G13" i="19"/>
  <c r="F14" i="19"/>
  <c r="G14" i="19"/>
  <c r="F15" i="19"/>
  <c r="G15" i="19"/>
  <c r="F16" i="19"/>
  <c r="G16" i="19"/>
  <c r="F12" i="19"/>
  <c r="G12" i="19"/>
  <c r="F11" i="19"/>
  <c r="G11" i="19"/>
  <c r="G10" i="19"/>
  <c r="F10" i="19"/>
  <c r="F5" i="25"/>
  <c r="G5" i="25"/>
  <c r="F6" i="25"/>
  <c r="G6" i="25"/>
  <c r="F7" i="25"/>
  <c r="G7" i="25"/>
  <c r="L42" i="28"/>
  <c r="M42" i="28"/>
  <c r="F10" i="9"/>
  <c r="G10" i="9"/>
  <c r="F7" i="24"/>
  <c r="G7" i="24"/>
  <c r="F6" i="24"/>
  <c r="G6" i="24"/>
  <c r="F5" i="24"/>
  <c r="G5" i="24"/>
  <c r="E9" i="16"/>
  <c r="F7" i="16"/>
  <c r="G7" i="16"/>
  <c r="F6" i="16"/>
  <c r="G6" i="16"/>
  <c r="F5" i="16"/>
  <c r="G5" i="16"/>
  <c r="B28" i="19" l="1"/>
  <c r="B31" i="19"/>
  <c r="N27" i="19"/>
  <c r="F28" i="19"/>
  <c r="N23" i="19"/>
  <c r="E31" i="19"/>
  <c r="E28" i="19"/>
  <c r="N29" i="19"/>
  <c r="C31" i="19"/>
  <c r="C28" i="19"/>
  <c r="G30" i="19"/>
  <c r="F29" i="19"/>
  <c r="D27" i="19"/>
  <c r="G31" i="19"/>
  <c r="F30" i="19"/>
  <c r="E29" i="19"/>
  <c r="F23" i="19"/>
  <c r="E30" i="19"/>
  <c r="L39" i="28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D9" i="17"/>
  <c r="E10" i="19"/>
  <c r="E14" i="19" s="1"/>
  <c r="D10" i="19"/>
  <c r="C10" i="19"/>
  <c r="B10" i="19"/>
  <c r="B14" i="19" s="1"/>
  <c r="K8" i="19"/>
  <c r="J8" i="19"/>
  <c r="H8" i="19"/>
  <c r="G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L8" i="19" s="1"/>
  <c r="K6" i="19"/>
  <c r="J6" i="19"/>
  <c r="I6" i="19"/>
  <c r="I8" i="19" s="1"/>
  <c r="H6" i="19"/>
  <c r="G6" i="19"/>
  <c r="F6" i="19"/>
  <c r="F8" i="19" s="1"/>
  <c r="E6" i="19"/>
  <c r="E8" i="19" s="1"/>
  <c r="D6" i="19"/>
  <c r="D14" i="19" s="1"/>
  <c r="C6" i="19"/>
  <c r="B6" i="19"/>
  <c r="N6" i="19" s="1"/>
  <c r="B9" i="25"/>
  <c r="E9" i="25" s="1"/>
  <c r="D5" i="25"/>
  <c r="D7" i="25" s="1"/>
  <c r="E4" i="25"/>
  <c r="D4" i="25"/>
  <c r="C4" i="25"/>
  <c r="B4" i="25"/>
  <c r="E3" i="25"/>
  <c r="E5" i="25" s="1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U47" i="28"/>
  <c r="T47" i="28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C11" i="24"/>
  <c r="B11" i="24"/>
  <c r="B9" i="24"/>
  <c r="E9" i="24" s="1"/>
  <c r="E6" i="24"/>
  <c r="C6" i="24"/>
  <c r="B6" i="24"/>
  <c r="E5" i="24"/>
  <c r="E7" i="24" s="1"/>
  <c r="D5" i="24"/>
  <c r="D7" i="24" s="1"/>
  <c r="C5" i="24"/>
  <c r="C7" i="24" s="1"/>
  <c r="B5" i="24"/>
  <c r="N5" i="24" s="1"/>
  <c r="O3" i="24" s="1"/>
  <c r="N4" i="24"/>
  <c r="N3" i="24"/>
  <c r="E11" i="24" s="1"/>
  <c r="F12" i="16"/>
  <c r="C12" i="16"/>
  <c r="B12" i="16"/>
  <c r="F11" i="16"/>
  <c r="C11" i="16"/>
  <c r="B11" i="16"/>
  <c r="D7" i="16"/>
  <c r="E6" i="16"/>
  <c r="E5" i="16"/>
  <c r="E7" i="16" s="1"/>
  <c r="D5" i="16"/>
  <c r="D6" i="16" s="1"/>
  <c r="C5" i="16"/>
  <c r="C6" i="16" s="1"/>
  <c r="B5" i="16"/>
  <c r="B6" i="16" s="1"/>
  <c r="N4" i="16"/>
  <c r="E12" i="16" s="1"/>
  <c r="N3" i="16"/>
  <c r="E11" i="16" s="1"/>
  <c r="O4" i="24" l="1"/>
  <c r="N28" i="19"/>
  <c r="N31" i="19"/>
  <c r="D28" i="19"/>
  <c r="D31" i="19"/>
  <c r="H16" i="27"/>
  <c r="E12" i="24"/>
  <c r="E13" i="24" s="1"/>
  <c r="B41" i="19"/>
  <c r="E41" i="19" s="1"/>
  <c r="E13" i="16"/>
  <c r="E7" i="25"/>
  <c r="E6" i="25"/>
  <c r="D10" i="17"/>
  <c r="D48" i="17"/>
  <c r="B15" i="19"/>
  <c r="C12" i="19"/>
  <c r="C13" i="19" s="1"/>
  <c r="C15" i="19"/>
  <c r="C16" i="19"/>
  <c r="D15" i="19"/>
  <c r="D12" i="19"/>
  <c r="N3" i="25"/>
  <c r="B5" i="25"/>
  <c r="C11" i="25"/>
  <c r="C7" i="16"/>
  <c r="D6" i="24"/>
  <c r="B10" i="17"/>
  <c r="C5" i="25"/>
  <c r="B12" i="19"/>
  <c r="B7" i="16"/>
  <c r="H15" i="27"/>
  <c r="B12" i="25"/>
  <c r="N10" i="19"/>
  <c r="G12" i="16"/>
  <c r="B9" i="9"/>
  <c r="E10" i="9"/>
  <c r="E10" i="17"/>
  <c r="C12" i="25"/>
  <c r="D8" i="19"/>
  <c r="N8" i="19" s="1"/>
  <c r="C14" i="19"/>
  <c r="B11" i="25"/>
  <c r="F11" i="25"/>
  <c r="N5" i="16"/>
  <c r="O3" i="16" s="1"/>
  <c r="C9" i="9"/>
  <c r="C9" i="17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1" i="16"/>
  <c r="D16" i="28"/>
  <c r="B13" i="16"/>
  <c r="B13" i="24"/>
  <c r="G12" i="24" l="1"/>
  <c r="G13" i="16"/>
  <c r="G13" i="24"/>
  <c r="D12" i="25"/>
  <c r="C13" i="25"/>
  <c r="B13" i="25"/>
  <c r="D11" i="25"/>
  <c r="F13" i="25"/>
  <c r="E12" i="25"/>
  <c r="G12" i="25" s="1"/>
  <c r="B50" i="9"/>
  <c r="B10" i="9"/>
  <c r="N9" i="9"/>
  <c r="O4" i="16"/>
  <c r="C44" i="19"/>
  <c r="B44" i="19"/>
  <c r="F37" i="19"/>
  <c r="C37" i="19"/>
  <c r="B37" i="19"/>
  <c r="F44" i="19"/>
  <c r="B13" i="19"/>
  <c r="N12" i="19"/>
  <c r="N13" i="19" s="1"/>
  <c r="B6" i="25"/>
  <c r="N5" i="25"/>
  <c r="O4" i="25" s="1"/>
  <c r="B7" i="25"/>
  <c r="E43" i="19"/>
  <c r="C6" i="25"/>
  <c r="D6" i="25"/>
  <c r="C7" i="25"/>
  <c r="E11" i="25"/>
  <c r="B16" i="19"/>
  <c r="E12" i="19"/>
  <c r="C48" i="17"/>
  <c r="C10" i="17"/>
  <c r="F14" i="17" s="1"/>
  <c r="N9" i="17"/>
  <c r="N14" i="19"/>
  <c r="E36" i="19"/>
  <c r="N11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C14" i="17" l="1"/>
  <c r="D14" i="17" s="1"/>
  <c r="N16" i="19"/>
  <c r="E13" i="25"/>
  <c r="G11" i="25"/>
  <c r="G13" i="25"/>
  <c r="D44" i="19"/>
  <c r="D13" i="25"/>
  <c r="N7" i="25"/>
  <c r="E14" i="9"/>
  <c r="N50" i="9"/>
  <c r="E14" i="17"/>
  <c r="G14" i="17" s="1"/>
  <c r="N48" i="17"/>
  <c r="N10" i="17"/>
  <c r="G44" i="19"/>
  <c r="F14" i="9"/>
  <c r="C14" i="9"/>
  <c r="B14" i="9"/>
  <c r="E13" i="19"/>
  <c r="E16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G14" i="9" l="1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<sst xmlns="http://schemas.openxmlformats.org/spreadsheetml/2006/main" count="413" uniqueCount="157">
  <si>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</si>
  <si>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</si>
  <si>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</si>
  <si>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</si>
  <si>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</si>
  <si>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</si>
  <si>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</si>
  <si>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</si>
  <si>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</si>
  <si>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</si>
  <si>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</si>
  <si>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</si>
  <si>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</si>
  <si>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</si>
  <si>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</si>
  <si>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</si>
  <si>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</si>
  <si>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</si>
  <si>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</si>
  <si>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</si>
  <si>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</si>
  <si>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</si>
  <si>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</si>
  <si>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</si>
  <si>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</si>
  <si>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</si>
  <si>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</si>
  <si>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</si>
  <si>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</si>
  <si>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</si>
  <si>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</si>
  <si>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</si>
  <si>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</si>
  <si>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</si>
  <si>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</si>
  <si>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</si>
  <si>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</si>
  <si>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</si>
  <si>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</si>
  <si>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</si>
  <si>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</si>
  <si>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</si>
  <si>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</si>
  <si>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</si>
  <si>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</si>
  <si>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</si>
  <si>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</si>
  <si>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</si>
  <si>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</si>
  <si>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</si>
  <si>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</si>
  <si>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</si>
  <si>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</si>
  <si>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</si>
  <si>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</si>
  <si>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</si>
  <si>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</si>
  <si>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</si>
  <si>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</si>
  <si>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</si>
  <si>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</si>
  <si>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</si>
  <si>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</si>
  <si>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</si>
  <si>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</si>
  <si>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</si>
  <si>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</si>
  <si>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</si>
  <si>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</si>
  <si>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</si>
  <si>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</si>
  <si>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</si>
  <si>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</si>
  <si>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</si>
  <si>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</si>
  <si>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</si>
  <si>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</si>
  <si>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</si>
  <si>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</si>
  <si>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</si>
  <si>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</si>
  <si>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</si>
  <si>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</si>
  <si>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</si>
  <si>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</si>
  <si>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</si>
  <si>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</si>
  <si>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</si>
  <si>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</si>
  <si>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</si>
  <si>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</si>
  <si>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</si>
  <si>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</si>
  <si>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</si>
  <si>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</si>
  <si>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</si>
  <si>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</si>
  <si>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</si>
  <si>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</si>
  <si>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</si>
  <si>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</si>
  <si>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</si>
  <si>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</si>
  <si>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</si>
  <si>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</si>
  <si>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</si>
  <si>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</si>
  <si>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</si>
  <si>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</si>
  <si>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</si>
  <si>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</si>
  <si>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</si>
  <si>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</si>
  <si>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</si>
  <si>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</si>
  <si>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</si>
  <si>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</si>
  <si>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</si>
  <si>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</si>
  <si>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</si>
  <si>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</si>
  <si>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</si>
  <si>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</si>
  <si>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</si>
  <si>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</si>
  <si>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</si>
  <si>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</si>
  <si>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</si>
  <si>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</si>
  <si>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</si>
  <si>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</si>
  <si>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</si>
  <si>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</si>
  <si>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</si>
  <si>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</si>
  <si>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</si>
  <si>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</si>
  <si>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</si>
  <si>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</si>
  <si>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</si>
  <si>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</si>
  <si>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</si>
  <si>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</si>
  <si>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APRILIA</t>
  </si>
  <si>
    <t>KEEWAY</t>
  </si>
  <si>
    <t>ZONTES</t>
  </si>
  <si>
    <t>750cm3&lt;poj.sil.&lt;=1000cm3</t>
  </si>
  <si>
    <t>750cm3&lt;poj.sil.&lt;=1000cm3 Suma</t>
  </si>
  <si>
    <t>&gt;1000cm3</t>
  </si>
  <si>
    <t>poj.sil.&gt;1000cm3 Suma</t>
  </si>
  <si>
    <t>SUPER SOCO</t>
  </si>
  <si>
    <t>EFUN</t>
  </si>
  <si>
    <t>HARLEY-DAVIDSON</t>
  </si>
  <si>
    <t>REJESTRACJE - PZPM na podstawie danych Centralnej Ewidencji Pojazdów. WRZESIEŃ 2022</t>
  </si>
  <si>
    <t>WRZESIEŃ</t>
  </si>
  <si>
    <t>Styczeń-Wrzesień</t>
  </si>
  <si>
    <t>TORQ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</si>
</sst>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32" fillId="3" borderId="0" applyNumberFormat="0" applyBorder="0" applyAlignment="0" applyProtection="0"/>
    <xf numFmtId="0" fontId="27" fillId="20" borderId="1" applyNumberFormat="0" applyAlignment="0" applyProtection="0"/>
    <xf numFmtId="0" fontId="22" fillId="21" borderId="2" applyNumberFormat="0" applyAlignment="0" applyProtection="0"/>
    <xf numFmtId="0" fontId="18" fillId="7" borderId="1" applyNumberFormat="0" applyAlignment="0" applyProtection="0"/>
    <xf numFmtId="0" fontId="19" fillId="20" borderId="3" applyNumberFormat="0" applyAlignment="0" applyProtection="0"/>
    <xf numFmtId="0" fontId="20" fillId="4" borderId="0" applyNumberFormat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21" fillId="0" borderId="7" applyNumberFormat="0" applyFill="0" applyAlignment="0" applyProtection="0"/>
    <xf numFmtId="0" fontId="22" fillId="21" borderId="2" applyNumberFormat="0" applyAlignment="0" applyProtection="0"/>
    <xf numFmtId="0" fontId="21" fillId="0" borderId="7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4" fillId="23" borderId="8" applyNumberFormat="0" applyFont="0" applyAlignment="0" applyProtection="0"/>
    <xf numFmtId="0" fontId="27" fillId="20" borderId="1" applyNumberFormat="0" applyAlignment="0" applyProtection="0"/>
    <xf numFmtId="0" fontId="19" fillId="20" borderId="3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30" fillId="0" borderId="0" applyNumberFormat="0" applyFill="0" applyBorder="0" applyAlignment="0" applyProtection="0"/>
    <xf numFmtId="0" fontId="32" fillId="3" borderId="0" applyNumberFormat="0" applyBorder="0" applyAlignment="0" applyProtection="0"/>
  </cellStyleXfs>
  <cellXfs count="237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8" fillId="24" borderId="10" xfId="0" applyFont="1" applyFill="1" applyBorder="1"/>
    <xf numFmtId="0" fontId="0" fillId="0" borderId="0" xfId="0" applyAlignment="1">
      <alignment vertical="center"/>
    </xf>
    <xf numFmtId="0" fontId="6" fillId="0" borderId="0" xfId="63" quotePrefix="1" applyAlignment="1" applyProtection="1"/>
    <xf numFmtId="0" fontId="10" fillId="0" borderId="0" xfId="0" applyFont="1"/>
    <xf numFmtId="0" fontId="10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4" fillId="0" borderId="0" xfId="81" applyNumberFormat="1"/>
    <xf numFmtId="0" fontId="9" fillId="0" borderId="10" xfId="0" applyFont="1" applyBorder="1"/>
    <xf numFmtId="0" fontId="9" fillId="0" borderId="15" xfId="0" applyFont="1" applyBorder="1"/>
    <xf numFmtId="165" fontId="9" fillId="0" borderId="14" xfId="81" applyNumberFormat="1" applyFont="1" applyBorder="1"/>
    <xf numFmtId="0" fontId="9" fillId="0" borderId="0" xfId="0" applyFont="1"/>
    <xf numFmtId="166" fontId="12" fillId="0" borderId="10" xfId="55" applyNumberFormat="1" applyFont="1" applyBorder="1" applyAlignment="1">
      <alignment wrapText="1"/>
    </xf>
    <xf numFmtId="166" fontId="4" fillId="0" borderId="0" xfId="55" applyNumberFormat="1"/>
    <xf numFmtId="3" fontId="0" fillId="0" borderId="0" xfId="0" applyNumberFormat="1"/>
    <xf numFmtId="166" fontId="0" fillId="0" borderId="0" xfId="0" applyNumberFormat="1"/>
    <xf numFmtId="165" fontId="12" fillId="0" borderId="10" xfId="81" applyNumberFormat="1" applyFont="1" applyBorder="1" applyAlignment="1">
      <alignment horizontal="right" wrapText="1"/>
    </xf>
    <xf numFmtId="166" fontId="4" fillId="0" borderId="10" xfId="55" applyNumberFormat="1" applyBorder="1"/>
    <xf numFmtId="166" fontId="12" fillId="0" borderId="17" xfId="55" applyNumberFormat="1" applyFont="1" applyBorder="1" applyAlignment="1">
      <alignment horizontal="center"/>
    </xf>
    <xf numFmtId="166" fontId="12" fillId="0" borderId="10" xfId="55" applyNumberFormat="1" applyFont="1" applyBorder="1" applyAlignment="1">
      <alignment horizontal="center"/>
    </xf>
    <xf numFmtId="10" fontId="9" fillId="0" borderId="18" xfId="81" applyNumberFormat="1" applyFont="1" applyBorder="1"/>
    <xf numFmtId="166" fontId="9" fillId="0" borderId="18" xfId="0" applyNumberFormat="1" applyFont="1" applyBorder="1"/>
    <xf numFmtId="165" fontId="9" fillId="0" borderId="10" xfId="81" applyNumberFormat="1" applyFont="1" applyBorder="1"/>
    <xf numFmtId="0" fontId="0" fillId="24" borderId="10" xfId="0" applyFill="1" applyBorder="1"/>
    <xf numFmtId="166" fontId="8" fillId="24" borderId="10" xfId="55" applyNumberFormat="1" applyFont="1" applyFill="1" applyBorder="1" applyAlignment="1">
      <alignment wrapText="1"/>
    </xf>
    <xf numFmtId="165" fontId="4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4" fillId="0" borderId="0" xfId="0" applyFont="1"/>
    <xf numFmtId="165" fontId="4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9" fillId="0" borderId="0" xfId="81" applyNumberFormat="1" applyFont="1"/>
    <xf numFmtId="0" fontId="11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3" fillId="0" borderId="0" xfId="81" applyNumberFormat="1" applyFont="1" applyAlignment="1">
      <alignment shrinkToFit="1"/>
    </xf>
    <xf numFmtId="166" fontId="12" fillId="0" borderId="19" xfId="55" applyNumberFormat="1" applyFont="1" applyBorder="1" applyAlignment="1">
      <alignment wrapText="1"/>
    </xf>
    <xf numFmtId="166" fontId="4" fillId="0" borderId="19" xfId="55" applyNumberFormat="1" applyBorder="1"/>
    <xf numFmtId="165" fontId="12" fillId="0" borderId="19" xfId="81" applyNumberFormat="1" applyFont="1" applyBorder="1" applyAlignment="1">
      <alignment horizontal="right" wrapText="1"/>
    </xf>
    <xf numFmtId="0" fontId="4" fillId="0" borderId="11" xfId="0" applyFont="1" applyBorder="1"/>
    <xf numFmtId="0" fontId="8" fillId="0" borderId="0" xfId="0" applyFont="1" applyAlignment="1">
      <alignment vertical="center"/>
    </xf>
    <xf numFmtId="0" fontId="5" fillId="0" borderId="11" xfId="0" applyFont="1" applyBorder="1"/>
    <xf numFmtId="0" fontId="14" fillId="0" borderId="11" xfId="0" applyFont="1" applyBorder="1"/>
    <xf numFmtId="0" fontId="15" fillId="0" borderId="11" xfId="0" applyFont="1" applyBorder="1"/>
    <xf numFmtId="0" fontId="34" fillId="0" borderId="10" xfId="0" applyFont="1" applyBorder="1"/>
    <xf numFmtId="0" fontId="34" fillId="0" borderId="16" xfId="0" applyFont="1" applyBorder="1"/>
    <xf numFmtId="0" fontId="34" fillId="0" borderId="22" xfId="0" applyFont="1" applyBorder="1"/>
    <xf numFmtId="0" fontId="35" fillId="0" borderId="10" xfId="0" applyFont="1" applyBorder="1"/>
    <xf numFmtId="0" fontId="34" fillId="25" borderId="10" xfId="0" applyFont="1" applyFill="1" applyBorder="1"/>
    <xf numFmtId="0" fontId="35" fillId="24" borderId="10" xfId="0" applyFont="1" applyFill="1" applyBorder="1"/>
    <xf numFmtId="0" fontId="34" fillId="0" borderId="0" xfId="0" applyFont="1"/>
    <xf numFmtId="165" fontId="34" fillId="0" borderId="0" xfId="81" applyNumberFormat="1" applyFont="1"/>
    <xf numFmtId="166" fontId="12" fillId="0" borderId="10" xfId="55" applyNumberFormat="1" applyFont="1" applyBorder="1" applyAlignment="1">
      <alignment vertical="center" wrapText="1"/>
    </xf>
    <xf numFmtId="166" fontId="4" fillId="0" borderId="10" xfId="55" applyNumberFormat="1" applyBorder="1" applyAlignment="1">
      <alignment vertical="center"/>
    </xf>
    <xf numFmtId="165" fontId="12" fillId="0" borderId="10" xfId="8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6" fontId="36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4" fillId="0" borderId="0" xfId="55" applyNumberFormat="1" applyAlignment="1">
      <alignment vertical="center"/>
    </xf>
    <xf numFmtId="166" fontId="12" fillId="0" borderId="0" xfId="55" applyNumberFormat="1" applyFont="1" applyAlignment="1">
      <alignment horizontal="center"/>
    </xf>
    <xf numFmtId="166" fontId="12" fillId="0" borderId="0" xfId="55" applyNumberFormat="1" applyFont="1" applyAlignment="1">
      <alignment wrapText="1"/>
    </xf>
    <xf numFmtId="166" fontId="12" fillId="0" borderId="0" xfId="55" applyNumberFormat="1" applyFont="1" applyAlignment="1">
      <alignment horizontal="right" wrapText="1"/>
    </xf>
    <xf numFmtId="166" fontId="8" fillId="0" borderId="0" xfId="55" applyNumberFormat="1" applyFont="1"/>
    <xf numFmtId="166" fontId="8" fillId="0" borderId="0" xfId="0" applyNumberFormat="1" applyFont="1"/>
    <xf numFmtId="166" fontId="33" fillId="0" borderId="10" xfId="55" applyNumberFormat="1" applyFont="1" applyBorder="1"/>
    <xf numFmtId="166" fontId="36" fillId="0" borderId="17" xfId="55" applyNumberFormat="1" applyFont="1" applyBorder="1" applyAlignment="1">
      <alignment horizontal="center"/>
    </xf>
    <xf numFmtId="166" fontId="36" fillId="0" borderId="10" xfId="55" applyNumberFormat="1" applyFont="1" applyBorder="1" applyAlignment="1">
      <alignment wrapText="1"/>
    </xf>
    <xf numFmtId="166" fontId="36" fillId="0" borderId="16" xfId="55" applyNumberFormat="1" applyFont="1" applyBorder="1" applyAlignment="1">
      <alignment wrapText="1"/>
    </xf>
    <xf numFmtId="166" fontId="33" fillId="0" borderId="0" xfId="55" applyNumberFormat="1" applyFont="1"/>
    <xf numFmtId="165" fontId="36" fillId="0" borderId="10" xfId="81" applyNumberFormat="1" applyFont="1" applyBorder="1" applyAlignment="1">
      <alignment horizontal="right" wrapText="1"/>
    </xf>
    <xf numFmtId="0" fontId="9" fillId="0" borderId="10" xfId="76" applyBorder="1"/>
    <xf numFmtId="0" fontId="9" fillId="0" borderId="0" xfId="76" applyAlignment="1">
      <alignment vertical="center" wrapText="1"/>
    </xf>
    <xf numFmtId="0" fontId="9" fillId="0" borderId="0" xfId="76"/>
    <xf numFmtId="0" fontId="9" fillId="0" borderId="0" xfId="76" applyAlignment="1">
      <alignment horizontal="center" vertical="center" wrapText="1"/>
    </xf>
    <xf numFmtId="0" fontId="9" fillId="0" borderId="0" xfId="76" applyAlignment="1">
      <alignment horizontal="center" vertical="center"/>
    </xf>
    <xf numFmtId="165" fontId="9" fillId="0" borderId="0" xfId="82" applyNumberFormat="1"/>
    <xf numFmtId="0" fontId="38" fillId="0" borderId="0" xfId="76" applyFont="1"/>
    <xf numFmtId="0" fontId="39" fillId="0" borderId="16" xfId="74" applyFont="1" applyBorder="1"/>
    <xf numFmtId="165" fontId="39" fillId="0" borderId="16" xfId="82" applyNumberFormat="1" applyFont="1" applyBorder="1"/>
    <xf numFmtId="0" fontId="39" fillId="0" borderId="11" xfId="74" applyFont="1" applyBorder="1"/>
    <xf numFmtId="165" fontId="39" fillId="0" borderId="11" xfId="82" applyNumberFormat="1" applyFont="1" applyBorder="1"/>
    <xf numFmtId="165" fontId="39" fillId="0" borderId="18" xfId="82" applyNumberFormat="1" applyFont="1" applyBorder="1"/>
    <xf numFmtId="167" fontId="4" fillId="0" borderId="10" xfId="55" applyNumberForma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40" fillId="0" borderId="0" xfId="0" applyFont="1"/>
    <xf numFmtId="166" fontId="12" fillId="0" borderId="10" xfId="55" applyNumberFormat="1" applyFont="1" applyBorder="1" applyAlignment="1">
      <alignment horizontal="left" wrapText="1"/>
    </xf>
    <xf numFmtId="166" fontId="33" fillId="0" borderId="10" xfId="55" applyNumberFormat="1" applyFont="1" applyBorder="1" applyAlignment="1">
      <alignment horizontal="left"/>
    </xf>
    <xf numFmtId="0" fontId="39" fillId="26" borderId="23" xfId="74" applyFont="1" applyFill="1" applyBorder="1" applyAlignment="1">
      <alignment horizontal="center" vertical="center"/>
    </xf>
    <xf numFmtId="0" fontId="39" fillId="26" borderId="24" xfId="74" applyFont="1" applyFill="1" applyBorder="1" applyAlignment="1">
      <alignment horizontal="center" vertical="center"/>
    </xf>
    <xf numFmtId="165" fontId="39" fillId="0" borderId="24" xfId="82" applyNumberFormat="1" applyFont="1" applyBorder="1"/>
    <xf numFmtId="165" fontId="39" fillId="0" borderId="13" xfId="82" applyNumberFormat="1" applyFont="1" applyBorder="1"/>
    <xf numFmtId="9" fontId="48" fillId="26" borderId="15" xfId="82" applyFont="1" applyFill="1" applyBorder="1"/>
    <xf numFmtId="165" fontId="48" fillId="26" borderId="10" xfId="74" applyNumberFormat="1" applyFont="1" applyFill="1" applyBorder="1"/>
    <xf numFmtId="9" fontId="42" fillId="26" borderId="15" xfId="82" applyFont="1" applyFill="1" applyBorder="1"/>
    <xf numFmtId="165" fontId="42" fillId="26" borderId="10" xfId="82" applyNumberFormat="1" applyFont="1" applyFill="1" applyBorder="1"/>
    <xf numFmtId="165" fontId="42" fillId="26" borderId="16" xfId="82" applyNumberFormat="1" applyFont="1" applyFill="1" applyBorder="1"/>
    <xf numFmtId="0" fontId="39" fillId="0" borderId="14" xfId="76" applyFont="1" applyBorder="1"/>
    <xf numFmtId="0" fontId="39" fillId="0" borderId="27" xfId="76" applyFont="1" applyBorder="1"/>
    <xf numFmtId="165" fontId="39" fillId="0" borderId="13" xfId="81" applyNumberFormat="1" applyFont="1" applyBorder="1"/>
    <xf numFmtId="0" fontId="42" fillId="26" borderId="22" xfId="76" applyFont="1" applyFill="1" applyBorder="1"/>
    <xf numFmtId="0" fontId="39" fillId="26" borderId="28" xfId="76" applyFont="1" applyFill="1" applyBorder="1"/>
    <xf numFmtId="0" fontId="39" fillId="0" borderId="25" xfId="76" applyFont="1" applyBorder="1"/>
    <xf numFmtId="0" fontId="39" fillId="26" borderId="29" xfId="76" applyFont="1" applyFill="1" applyBorder="1"/>
    <xf numFmtId="0" fontId="39" fillId="0" borderId="30" xfId="76" applyFont="1" applyBorder="1"/>
    <xf numFmtId="165" fontId="45" fillId="26" borderId="15" xfId="82" applyNumberFormat="1" applyFont="1" applyFill="1" applyBorder="1"/>
    <xf numFmtId="0" fontId="39" fillId="0" borderId="0" xfId="0" applyFont="1"/>
    <xf numFmtId="0" fontId="42" fillId="26" borderId="30" xfId="76" applyFont="1" applyFill="1" applyBorder="1"/>
    <xf numFmtId="0" fontId="42" fillId="26" borderId="28" xfId="76" applyFont="1" applyFill="1" applyBorder="1"/>
    <xf numFmtId="0" fontId="42" fillId="26" borderId="12" xfId="76" applyFont="1" applyFill="1" applyBorder="1"/>
    <xf numFmtId="0" fontId="42" fillId="26" borderId="31" xfId="76" applyFont="1" applyFill="1" applyBorder="1"/>
    <xf numFmtId="0" fontId="42" fillId="26" borderId="29" xfId="76" applyFont="1" applyFill="1" applyBorder="1"/>
    <xf numFmtId="165" fontId="48" fillId="26" borderId="15" xfId="82" applyNumberFormat="1" applyFont="1" applyFill="1" applyBorder="1"/>
    <xf numFmtId="10" fontId="39" fillId="0" borderId="24" xfId="82" applyNumberFormat="1" applyFont="1" applyBorder="1" applyAlignment="1">
      <alignment vertical="center"/>
    </xf>
    <xf numFmtId="10" fontId="39" fillId="0" borderId="13" xfId="82" applyNumberFormat="1" applyFont="1" applyBorder="1" applyAlignment="1">
      <alignment vertical="center"/>
    </xf>
    <xf numFmtId="10" fontId="39" fillId="0" borderId="0" xfId="82" applyNumberFormat="1" applyFont="1" applyAlignment="1">
      <alignment vertical="center"/>
    </xf>
    <xf numFmtId="166" fontId="36" fillId="0" borderId="10" xfId="55" applyNumberFormat="1" applyFont="1" applyBorder="1" applyAlignment="1">
      <alignment horizontal="left"/>
    </xf>
    <xf numFmtId="166" fontId="12" fillId="0" borderId="10" xfId="55" applyNumberFormat="1" applyFont="1" applyBorder="1" applyAlignment="1">
      <alignment horizontal="left"/>
    </xf>
    <xf numFmtId="0" fontId="5" fillId="0" borderId="10" xfId="0" applyFont="1" applyBorder="1"/>
    <xf numFmtId="0" fontId="10" fillId="0" borderId="10" xfId="0" applyFont="1" applyBorder="1"/>
    <xf numFmtId="0" fontId="39" fillId="26" borderId="16" xfId="74" applyFont="1" applyFill="1" applyBorder="1" applyAlignment="1">
      <alignment horizontal="center" vertical="center"/>
    </xf>
    <xf numFmtId="0" fontId="39" fillId="0" borderId="0" xfId="77" applyFont="1" applyAlignment="1">
      <alignment vertical="center" wrapText="1"/>
    </xf>
    <xf numFmtId="0" fontId="39" fillId="0" borderId="0" xfId="77" applyFont="1"/>
    <xf numFmtId="0" fontId="39" fillId="0" borderId="14" xfId="77" applyFont="1" applyBorder="1" applyAlignment="1">
      <alignment vertical="center" wrapText="1"/>
    </xf>
    <xf numFmtId="0" fontId="39" fillId="0" borderId="0" xfId="77" applyFont="1" applyAlignment="1">
      <alignment horizontal="center" vertical="center" wrapText="1"/>
    </xf>
    <xf numFmtId="0" fontId="43" fillId="0" borderId="0" xfId="75" applyFont="1" applyAlignment="1">
      <alignment vertical="center"/>
    </xf>
    <xf numFmtId="0" fontId="46" fillId="0" borderId="0" xfId="77" applyFont="1"/>
    <xf numFmtId="10" fontId="39" fillId="0" borderId="35" xfId="82" applyNumberFormat="1" applyFont="1" applyBorder="1" applyAlignment="1">
      <alignment vertical="center"/>
    </xf>
    <xf numFmtId="165" fontId="39" fillId="0" borderId="16" xfId="82" applyNumberFormat="1" applyFont="1" applyBorder="1" applyAlignment="1">
      <alignment vertical="center"/>
    </xf>
    <xf numFmtId="165" fontId="39" fillId="0" borderId="11" xfId="8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18" xfId="55" applyNumberFormat="1" applyBorder="1"/>
    <xf numFmtId="0" fontId="4" fillId="0" borderId="19" xfId="0" applyFont="1" applyBorder="1"/>
    <xf numFmtId="9" fontId="42" fillId="26" borderId="26" xfId="82" applyFont="1" applyFill="1" applyBorder="1" applyAlignment="1">
      <alignment vertical="center"/>
    </xf>
    <xf numFmtId="9" fontId="42" fillId="26" borderId="32" xfId="82" applyFont="1" applyFill="1" applyBorder="1" applyAlignment="1">
      <alignment vertical="center"/>
    </xf>
    <xf numFmtId="165" fontId="42" fillId="26" borderId="18" xfId="74" applyNumberFormat="1" applyFont="1" applyFill="1" applyBorder="1" applyAlignment="1">
      <alignment vertical="center"/>
    </xf>
    <xf numFmtId="0" fontId="39" fillId="0" borderId="23" xfId="74" applyFont="1" applyBorder="1" applyAlignment="1">
      <alignment horizontal="center" vertical="center"/>
    </xf>
    <xf numFmtId="0" fontId="39" fillId="0" borderId="16" xfId="74" applyFont="1" applyBorder="1" applyAlignment="1">
      <alignment vertical="center"/>
    </xf>
    <xf numFmtId="0" fontId="39" fillId="0" borderId="14" xfId="74" applyFont="1" applyBorder="1" applyAlignment="1">
      <alignment horizontal="center" vertical="center"/>
    </xf>
    <xf numFmtId="0" fontId="39" fillId="0" borderId="11" xfId="74" applyFont="1" applyBorder="1" applyAlignment="1">
      <alignment vertical="center"/>
    </xf>
    <xf numFmtId="3" fontId="42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4" fillId="0" borderId="0" xfId="74" applyFont="1"/>
    <xf numFmtId="3" fontId="39" fillId="0" borderId="23" xfId="74" applyNumberFormat="1" applyFont="1" applyBorder="1" applyAlignment="1">
      <alignment vertical="center"/>
    </xf>
    <xf numFmtId="3" fontId="39" fillId="0" borderId="14" xfId="74" applyNumberFormat="1" applyFont="1" applyBorder="1" applyAlignment="1">
      <alignment vertical="center"/>
    </xf>
    <xf numFmtId="0" fontId="39" fillId="0" borderId="25" xfId="74" applyFont="1" applyBorder="1" applyAlignment="1">
      <alignment horizontal="center" vertical="center"/>
    </xf>
    <xf numFmtId="0" fontId="39" fillId="0" borderId="18" xfId="74" applyFont="1" applyBorder="1" applyAlignment="1">
      <alignment vertical="center"/>
    </xf>
    <xf numFmtId="3" fontId="39" fillId="0" borderId="25" xfId="74" applyNumberFormat="1" applyFont="1" applyBorder="1" applyAlignment="1">
      <alignment vertical="center"/>
    </xf>
    <xf numFmtId="10" fontId="39" fillId="0" borderId="26" xfId="82" applyNumberFormat="1" applyFont="1" applyBorder="1" applyAlignment="1">
      <alignment vertical="center"/>
    </xf>
    <xf numFmtId="10" fontId="39" fillId="0" borderId="32" xfId="82" applyNumberFormat="1" applyFont="1" applyBorder="1" applyAlignment="1">
      <alignment vertical="center"/>
    </xf>
    <xf numFmtId="165" fontId="39" fillId="0" borderId="18" xfId="82" applyNumberFormat="1" applyFont="1" applyBorder="1" applyAlignment="1">
      <alignment vertical="center"/>
    </xf>
    <xf numFmtId="166" fontId="8" fillId="0" borderId="10" xfId="55" applyNumberFormat="1" applyFont="1" applyBorder="1" applyAlignment="1">
      <alignment wrapText="1"/>
    </xf>
    <xf numFmtId="0" fontId="8" fillId="0" borderId="10" xfId="0" applyFont="1" applyBorder="1"/>
    <xf numFmtId="3" fontId="48" fillId="26" borderId="22" xfId="74" applyNumberFormat="1" applyFont="1" applyFill="1" applyBorder="1"/>
    <xf numFmtId="3" fontId="45" fillId="26" borderId="12" xfId="76" applyNumberFormat="1" applyFont="1" applyFill="1" applyBorder="1"/>
    <xf numFmtId="10" fontId="39" fillId="0" borderId="0" xfId="82" applyNumberFormat="1" applyFont="1" applyBorder="1" applyAlignment="1">
      <alignment vertical="center"/>
    </xf>
    <xf numFmtId="3" fontId="42" fillId="26" borderId="22" xfId="76" applyNumberFormat="1" applyFont="1" applyFill="1" applyBorder="1"/>
    <xf numFmtId="10" fontId="12" fillId="0" borderId="0" xfId="81" applyNumberFormat="1" applyFont="1" applyAlignment="1">
      <alignment horizontal="center"/>
    </xf>
    <xf numFmtId="0" fontId="39" fillId="0" borderId="23" xfId="74" applyFont="1" applyBorder="1" applyAlignment="1">
      <alignment vertical="center"/>
    </xf>
    <xf numFmtId="10" fontId="39" fillId="0" borderId="16" xfId="82" applyNumberFormat="1" applyFont="1" applyBorder="1" applyAlignment="1">
      <alignment vertical="center"/>
    </xf>
    <xf numFmtId="0" fontId="39" fillId="0" borderId="14" xfId="74" applyFont="1" applyBorder="1" applyAlignment="1">
      <alignment vertical="center"/>
    </xf>
    <xf numFmtId="10" fontId="39" fillId="0" borderId="11" xfId="82" applyNumberFormat="1" applyFont="1" applyBorder="1" applyAlignment="1">
      <alignment vertical="center"/>
    </xf>
    <xf numFmtId="0" fontId="39" fillId="0" borderId="25" xfId="74" applyFont="1" applyBorder="1" applyAlignment="1">
      <alignment vertical="center"/>
    </xf>
    <xf numFmtId="10" fontId="39" fillId="0" borderId="18" xfId="82" applyNumberFormat="1" applyFont="1" applyBorder="1" applyAlignment="1">
      <alignment vertical="center"/>
    </xf>
    <xf numFmtId="3" fontId="3" fillId="0" borderId="3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3" fillId="0" borderId="16" xfId="0" applyFont="1" applyBorder="1" applyAlignment="1"/>
    <xf numFmtId="0" fontId="3" fillId="0" borderId="11" xfId="0" applyFont="1" applyBorder="1" applyAlignment="1"/>
    <xf numFmtId="0" fontId="39" fillId="0" borderId="0" xfId="77" applyFont="1" applyFill="1"/>
    <xf numFmtId="3" fontId="45" fillId="26" borderId="22" xfId="76" applyNumberFormat="1" applyFont="1" applyFill="1" applyBorder="1"/>
    <xf numFmtId="3" fontId="39" fillId="0" borderId="14" xfId="76" applyNumberFormat="1" applyFont="1" applyBorder="1"/>
    <xf numFmtId="3" fontId="2" fillId="0" borderId="19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10" fontId="39" fillId="0" borderId="19" xfId="82" applyNumberFormat="1" applyFont="1" applyBorder="1" applyAlignment="1">
      <alignment vertical="center"/>
    </xf>
    <xf numFmtId="0" fontId="39" fillId="26" borderId="10" xfId="74" applyFont="1" applyFill="1" applyBorder="1" applyAlignment="1">
      <alignment horizontal="center" vertical="center"/>
    </xf>
    <xf numFmtId="0" fontId="1" fillId="0" borderId="11" xfId="0" applyFont="1" applyBorder="1" applyAlignment="1"/>
    <xf numFmtId="166" fontId="4" fillId="0" borderId="0" xfId="55" applyNumberFormat="1" applyAlignment="1">
      <alignment horizontal="center" vertical="center"/>
    </xf>
    <xf numFmtId="166" fontId="9" fillId="0" borderId="0" xfId="55" applyNumberFormat="1" applyFont="1" applyAlignment="1">
      <alignment horizontal="center" vertical="center"/>
    </xf>
    <xf numFmtId="166" fontId="37" fillId="0" borderId="16" xfId="55" applyNumberFormat="1" applyFont="1" applyBorder="1" applyAlignment="1">
      <alignment horizontal="center" vertical="center"/>
    </xf>
    <xf numFmtId="166" fontId="37" fillId="0" borderId="18" xfId="55" applyNumberFormat="1" applyFont="1" applyBorder="1" applyAlignment="1">
      <alignment horizontal="center" vertical="center"/>
    </xf>
    <xf numFmtId="165" fontId="10" fillId="0" borderId="22" xfId="81" applyNumberFormat="1" applyFont="1" applyBorder="1" applyAlignment="1">
      <alignment horizontal="center" vertical="center" shrinkToFit="1"/>
    </xf>
    <xf numFmtId="165" fontId="34" fillId="0" borderId="15" xfId="81" applyNumberFormat="1" applyFont="1" applyBorder="1" applyAlignment="1">
      <alignment horizontal="center" vertical="center" shrinkToFit="1"/>
    </xf>
    <xf numFmtId="166" fontId="36" fillId="0" borderId="16" xfId="55" applyNumberFormat="1" applyFont="1" applyBorder="1" applyAlignment="1">
      <alignment horizontal="center" vertical="center" wrapText="1"/>
    </xf>
    <xf numFmtId="166" fontId="36" fillId="0" borderId="18" xfId="55" applyNumberFormat="1" applyFont="1" applyBorder="1" applyAlignment="1">
      <alignment horizontal="center" vertical="center" wrapText="1"/>
    </xf>
    <xf numFmtId="165" fontId="10" fillId="0" borderId="22" xfId="81" applyNumberFormat="1" applyFont="1" applyBorder="1" applyAlignment="1">
      <alignment horizontal="center" vertical="center" wrapText="1" shrinkToFit="1"/>
    </xf>
    <xf numFmtId="165" fontId="34" fillId="0" borderId="15" xfId="81" applyNumberFormat="1" applyFont="1" applyBorder="1" applyAlignment="1">
      <alignment horizontal="center" vertical="center" wrapText="1" shrinkToFit="1"/>
    </xf>
    <xf numFmtId="166" fontId="12" fillId="0" borderId="18" xfId="55" applyNumberFormat="1" applyFont="1" applyBorder="1" applyAlignment="1">
      <alignment horizontal="center" vertical="center" wrapText="1"/>
    </xf>
    <xf numFmtId="165" fontId="10" fillId="0" borderId="10" xfId="81" applyNumberFormat="1" applyFont="1" applyBorder="1" applyAlignment="1">
      <alignment horizontal="center" vertical="center" wrapText="1" shrinkToFit="1"/>
    </xf>
    <xf numFmtId="165" fontId="34" fillId="0" borderId="10" xfId="81" applyNumberFormat="1" applyFont="1" applyBorder="1" applyAlignment="1">
      <alignment horizontal="center" vertical="center" shrinkToFit="1"/>
    </xf>
    <xf numFmtId="166" fontId="12" fillId="0" borderId="16" xfId="55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2" fillId="26" borderId="10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/>
    </xf>
    <xf numFmtId="0" fontId="45" fillId="26" borderId="22" xfId="76" applyFont="1" applyFill="1" applyBorder="1" applyAlignment="1">
      <alignment horizontal="center"/>
    </xf>
    <xf numFmtId="0" fontId="45" fillId="26" borderId="15" xfId="76" applyFont="1" applyFill="1" applyBorder="1" applyAlignment="1">
      <alignment horizontal="center"/>
    </xf>
    <xf numFmtId="0" fontId="45" fillId="26" borderId="18" xfId="76" applyFont="1" applyFill="1" applyBorder="1" applyAlignment="1">
      <alignment horizontal="center"/>
    </xf>
    <xf numFmtId="0" fontId="45" fillId="26" borderId="10" xfId="76" applyFont="1" applyFill="1" applyBorder="1" applyAlignment="1">
      <alignment horizontal="center"/>
    </xf>
    <xf numFmtId="0" fontId="44" fillId="0" borderId="19" xfId="77" applyFont="1" applyBorder="1" applyAlignment="1">
      <alignment horizontal="left"/>
    </xf>
    <xf numFmtId="0" fontId="42" fillId="26" borderId="24" xfId="74" applyFont="1" applyFill="1" applyBorder="1" applyAlignment="1">
      <alignment horizontal="center" vertical="center"/>
    </xf>
    <xf numFmtId="0" fontId="42" fillId="26" borderId="13" xfId="74" applyFont="1" applyFill="1" applyBorder="1" applyAlignment="1">
      <alignment horizontal="center" vertical="center"/>
    </xf>
    <xf numFmtId="0" fontId="42" fillId="26" borderId="34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/>
    </xf>
    <xf numFmtId="0" fontId="44" fillId="0" borderId="0" xfId="77" applyFont="1" applyAlignment="1">
      <alignment horizontal="left" wrapText="1"/>
    </xf>
    <xf numFmtId="0" fontId="43" fillId="0" borderId="32" xfId="75" applyFont="1" applyBorder="1" applyAlignment="1">
      <alignment horizontal="center" vertical="center"/>
    </xf>
    <xf numFmtId="0" fontId="43" fillId="0" borderId="32" xfId="74" applyFont="1" applyBorder="1" applyAlignment="1">
      <alignment horizontal="center" vertical="center"/>
    </xf>
    <xf numFmtId="0" fontId="42" fillId="26" borderId="16" xfId="74" applyFont="1" applyFill="1" applyBorder="1" applyAlignment="1">
      <alignment horizontal="center" vertical="center" wrapText="1"/>
    </xf>
    <xf numFmtId="0" fontId="42" fillId="26" borderId="18" xfId="74" applyFont="1" applyFill="1" applyBorder="1" applyAlignment="1">
      <alignment horizontal="center" vertical="center" wrapText="1"/>
    </xf>
    <xf numFmtId="0" fontId="42" fillId="26" borderId="16" xfId="74" applyFont="1" applyFill="1" applyBorder="1" applyAlignment="1">
      <alignment horizontal="center" vertical="center"/>
    </xf>
    <xf numFmtId="0" fontId="42" fillId="26" borderId="33" xfId="74" applyFont="1" applyFill="1" applyBorder="1" applyAlignment="1">
      <alignment horizontal="center" vertical="center"/>
    </xf>
    <xf numFmtId="0" fontId="42" fillId="26" borderId="22" xfId="74" applyFont="1" applyFill="1" applyBorder="1" applyAlignment="1">
      <alignment horizontal="center" vertical="center"/>
    </xf>
    <xf numFmtId="0" fontId="42" fillId="26" borderId="12" xfId="74" applyFont="1" applyFill="1" applyBorder="1" applyAlignment="1">
      <alignment horizontal="center" vertical="center"/>
    </xf>
    <xf numFmtId="0" fontId="42" fillId="26" borderId="15" xfId="74" applyFont="1" applyFill="1" applyBorder="1" applyAlignment="1">
      <alignment horizontal="center" vertical="center"/>
    </xf>
    <xf numFmtId="0" fontId="42" fillId="26" borderId="11" xfId="74" applyFont="1" applyFill="1" applyBorder="1" applyAlignment="1">
      <alignment horizontal="center" vertical="center" wrapText="1"/>
    </xf>
    <xf numFmtId="165" fontId="10" fillId="0" borderId="15" xfId="81" applyNumberFormat="1" applyFont="1" applyBorder="1" applyAlignment="1">
      <alignment horizontal="center" vertical="center" shrinkToFit="1"/>
    </xf>
    <xf numFmtId="165" fontId="10" fillId="0" borderId="15" xfId="81" applyNumberFormat="1" applyFont="1" applyBorder="1" applyAlignment="1">
      <alignment horizontal="center" vertical="center" wrapText="1" shrinkToFit="1"/>
    </xf>
    <xf numFmtId="0" fontId="34" fillId="0" borderId="0" xfId="76" applyFont="1" applyAlignment="1">
      <alignment horizontal="center" vertical="center" wrapText="1"/>
    </xf>
    <xf numFmtId="0" fontId="9" fillId="0" borderId="0" xfId="76" applyAlignment="1">
      <alignment horizontal="center" vertical="center" wrapText="1"/>
    </xf>
    <xf numFmtId="0" fontId="44" fillId="0" borderId="0" xfId="76" applyFont="1" applyAlignment="1">
      <alignment horizontal="left" vertical="top" wrapText="1"/>
    </xf>
    <xf numFmtId="0" fontId="42" fillId="26" borderId="11" xfId="74" applyFont="1" applyFill="1" applyBorder="1" applyAlignment="1">
      <alignment horizontal="center" vertical="center"/>
    </xf>
    <xf numFmtId="0" fontId="44" fillId="0" borderId="35" xfId="76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34" fillId="0" borderId="22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4924</c:v>
                </c:pt>
                <c:pt idx="1">
                  <c:v>1982</c:v>
                </c:pt>
                <c:pt idx="2">
                  <c:v>6536</c:v>
                </c:pt>
                <c:pt idx="3">
                  <c:v>116</c:v>
                </c:pt>
                <c:pt idx="4">
                  <c:v>697</c:v>
                </c:pt>
                <c:pt idx="5">
                  <c:v>1525</c:v>
                </c:pt>
                <c:pt idx="6">
                  <c:v>4001</c:v>
                </c:pt>
                <c:pt idx="7">
                  <c:v>1104</c:v>
                </c:pt>
                <c:pt idx="8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213</c:v>
                </c:pt>
                <c:pt idx="1">
                  <c:v>7564</c:v>
                </c:pt>
                <c:pt idx="2">
                  <c:v>230</c:v>
                </c:pt>
                <c:pt idx="3">
                  <c:v>2609</c:v>
                </c:pt>
                <c:pt idx="4">
                  <c:v>2262</c:v>
                </c:pt>
                <c:pt idx="5">
                  <c:v>1957</c:v>
                </c:pt>
                <c:pt idx="6">
                  <c:v>3177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3870</c:v>
                </c:pt>
                <c:pt idx="1">
                  <c:v>1693</c:v>
                </c:pt>
                <c:pt idx="2">
                  <c:v>5640</c:v>
                </c:pt>
                <c:pt idx="3">
                  <c:v>143</c:v>
                </c:pt>
                <c:pt idx="4">
                  <c:v>562</c:v>
                </c:pt>
                <c:pt idx="5">
                  <c:v>1068</c:v>
                </c:pt>
                <c:pt idx="6">
                  <c:v>3998</c:v>
                </c:pt>
                <c:pt idx="7">
                  <c:v>915</c:v>
                </c:pt>
                <c:pt idx="8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10157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59722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60851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0.8364529753003237</c:v>
                </c:pt>
                <c:pt idx="1">
                  <c:v>0.16354702469967625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91561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0.78523607212677882</c:v>
                </c:pt>
                <c:pt idx="1">
                  <c:v>0.21476392787322113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28169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30710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0.6837512211006187</c:v>
                </c:pt>
                <c:pt idx="1">
                  <c:v>0.3162487788993813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18012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20998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545</c:v>
                </c:pt>
                <c:pt idx="1">
                  <c:v>9289</c:v>
                </c:pt>
                <c:pt idx="2">
                  <c:v>211</c:v>
                </c:pt>
                <c:pt idx="3">
                  <c:v>2978</c:v>
                </c:pt>
                <c:pt idx="4">
                  <c:v>2491</c:v>
                </c:pt>
                <c:pt idx="5">
                  <c:v>2053</c:v>
                </c:pt>
                <c:pt idx="6">
                  <c:v>3431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1618382607834"/>
          <c:y val="0.17568640876412189"/>
          <c:w val="0.25977390905039099"/>
          <c:h val="0.6826546681664792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44</xdr:row>
      <xdr:rowOff>57150</xdr:rowOff>
    </xdr:from>
    <xdr:to>
      <xdr:col>16</xdr:col>
      <xdr:colOff>19049</xdr:colOff>
      <xdr:row>61</xdr:row>
      <xdr:rowOff>104775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62</xdr:row>
      <xdr:rowOff>133350</xdr:rowOff>
    </xdr:from>
    <xdr:to>
      <xdr:col>15</xdr:col>
      <xdr:colOff>209550</xdr:colOff>
      <xdr:row>79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133</v>
      </c>
      <c r="C10" s="31" t="s">
        <v>134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135</v>
      </c>
      <c r="C13" s="135" t="s">
        <v>136</v>
      </c>
    </row>
    <row r="14" spans="2:18">
      <c r="C14" s="6"/>
    </row>
    <row r="15" spans="2:18">
      <c r="B15" s="7" t="s">
        <v>137</v>
      </c>
      <c r="C15" s="135" t="s">
        <v>138</v>
      </c>
    </row>
    <row r="17" spans="2:17">
      <c r="B17" s="7" t="s">
        <v>129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139</v>
      </c>
      <c r="C19" s="31" t="s">
        <v>140</v>
      </c>
    </row>
    <row r="21" spans="2:17">
      <c r="B21" s="7" t="s">
        <v>130</v>
      </c>
    </row>
    <row r="23" spans="2:17">
      <c r="B23" s="7" t="s">
        <v>141</v>
      </c>
      <c r="C23" s="31" t="s">
        <v>142</v>
      </c>
    </row>
    <row r="24" spans="2:17">
      <c r="B24" s="7"/>
    </row>
    <row r="25" spans="2:17">
      <c r="B25" s="7" t="s">
        <v>131</v>
      </c>
      <c r="C25" s="31" t="s">
        <v>132</v>
      </c>
    </row>
    <row r="27" spans="2:17">
      <c r="B27" s="90" t="s">
        <v>0</v>
      </c>
    </row>
    <row r="28" spans="2:17">
      <c r="B28" s="90" t="s">
        <v>103</v>
      </c>
    </row>
  </sheetData>
  <phoneticPr fontId="7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activeCell="J3" sqref="J3:J4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5" t="s">
        <v>107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T1" s="185" t="s">
        <v>85</v>
      </c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</row>
    <row r="2" spans="1:33" ht="15.75" customHeight="1">
      <c r="A2" s="70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1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>
        <v>10850</v>
      </c>
      <c r="G3" s="1">
        <v>10312</v>
      </c>
      <c r="H3" s="1">
        <v>9286</v>
      </c>
      <c r="I3" s="1">
        <v>7724</v>
      </c>
      <c r="J3" s="1">
        <v>5734</v>
      </c>
      <c r="K3" s="1"/>
      <c r="L3" s="1"/>
      <c r="M3" s="4"/>
      <c r="N3" s="1">
        <f>SUM(B3:M3)</f>
        <v>71897</v>
      </c>
      <c r="O3" s="11">
        <f>N3/N5</f>
        <v>0.78523607212677882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>
        <v>2825</v>
      </c>
      <c r="G4" s="12">
        <v>2942</v>
      </c>
      <c r="H4" s="12">
        <v>2757</v>
      </c>
      <c r="I4" s="12">
        <v>2620</v>
      </c>
      <c r="J4" s="12">
        <v>1923</v>
      </c>
      <c r="K4" s="12"/>
      <c r="L4" s="12"/>
      <c r="M4" s="13"/>
      <c r="N4" s="1">
        <f>SUM(B4:M4)</f>
        <v>19664</v>
      </c>
      <c r="O4" s="11">
        <f>N4/N5</f>
        <v>0.21476392787322113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108</v>
      </c>
      <c r="B5" s="5">
        <f>SUM(B3:B4)</f>
        <v>4557</v>
      </c>
      <c r="C5" s="5">
        <f>SUM(C3:C4)</f>
        <v>6222</v>
      </c>
      <c r="D5" s="5">
        <f>SUM(D3:D4)</f>
        <v>11764</v>
      </c>
      <c r="E5" s="5">
        <f>SUM(E3:E4)</f>
        <v>12045</v>
      </c>
      <c r="F5" s="5">
        <f t="shared" ref="F5:H5" si="0">SUM(F3:F4)</f>
        <v>13675</v>
      </c>
      <c r="G5" s="5">
        <f t="shared" si="0"/>
        <v>13254</v>
      </c>
      <c r="H5" s="5">
        <f t="shared" si="0"/>
        <v>12043</v>
      </c>
      <c r="I5" s="5">
        <f>SUM(I3:I4)</f>
        <v>10344</v>
      </c>
      <c r="J5" s="5">
        <f>SUM(J3:J4)</f>
        <v>7657</v>
      </c>
      <c r="K5" s="5"/>
      <c r="L5" s="5"/>
      <c r="M5" s="5"/>
      <c r="N5" s="5">
        <f>SUM(B5:M5)</f>
        <v>91561</v>
      </c>
      <c r="O5" s="11">
        <v>1</v>
      </c>
      <c r="T5" s="156" t="s">
        <v>86</v>
      </c>
      <c r="U5" s="157">
        <v>3942</v>
      </c>
      <c r="V5" s="157">
        <v>5120</v>
      </c>
      <c r="W5" s="157">
        <v>11099</v>
      </c>
      <c r="X5" s="157">
        <v>12644</v>
      </c>
      <c r="Y5" s="157">
        <v>12970</v>
      </c>
      <c r="Z5" s="157">
        <v>13029</v>
      </c>
      <c r="AA5" s="157">
        <v>11926</v>
      </c>
      <c r="AB5" s="157">
        <v>9511</v>
      </c>
      <c r="AC5" s="157">
        <v>7650</v>
      </c>
      <c r="AD5" s="157">
        <v>6231</v>
      </c>
      <c r="AE5" s="157">
        <v>5319</v>
      </c>
      <c r="AF5" s="157">
        <v>5536</v>
      </c>
      <c r="AG5" s="157">
        <v>104977</v>
      </c>
    </row>
    <row r="6" spans="1:33" ht="15.75" customHeight="1">
      <c r="A6" s="136" t="s">
        <v>109</v>
      </c>
      <c r="B6" s="24">
        <f>B5/AF5-1</f>
        <v>-0.17684248554913296</v>
      </c>
      <c r="C6" s="24">
        <f>C5/B5-1</f>
        <v>0.36537195523370647</v>
      </c>
      <c r="D6" s="24">
        <f>D5/C5-1</f>
        <v>0.8907103825136613</v>
      </c>
      <c r="E6" s="24">
        <f>E5/D5-1</f>
        <v>2.3886433185991152E-2</v>
      </c>
      <c r="F6" s="24">
        <f t="shared" ref="F6:J6" si="1">F5/E5-1</f>
        <v>0.13532586135325864</v>
      </c>
      <c r="G6" s="24">
        <f t="shared" si="1"/>
        <v>-3.0786106032906768E-2</v>
      </c>
      <c r="H6" s="24">
        <f t="shared" si="1"/>
        <v>-9.136864342839901E-2</v>
      </c>
      <c r="I6" s="24">
        <f t="shared" si="1"/>
        <v>-0.14107780453375407</v>
      </c>
      <c r="J6" s="24">
        <f t="shared" si="1"/>
        <v>-0.25976411446249037</v>
      </c>
      <c r="K6" s="24"/>
      <c r="L6" s="24"/>
      <c r="M6" s="24"/>
      <c r="N6" s="25"/>
    </row>
    <row r="7" spans="1:33" ht="15.75" customHeight="1">
      <c r="A7" s="21" t="s">
        <v>110</v>
      </c>
      <c r="B7" s="26">
        <f>B5/U5-1</f>
        <v>0.15601217656012167</v>
      </c>
      <c r="C7" s="26">
        <f>C5/V5-1</f>
        <v>0.21523437500000009</v>
      </c>
      <c r="D7" s="26">
        <f>D5/W5-1</f>
        <v>5.9915307685377117E-2</v>
      </c>
      <c r="E7" s="26">
        <f>E5/X5-1</f>
        <v>-4.7374248655488782E-2</v>
      </c>
      <c r="F7" s="26">
        <f t="shared" ref="F7:J7" si="2">F5/Y5-1</f>
        <v>5.4356206630686188E-2</v>
      </c>
      <c r="G7" s="26">
        <f t="shared" si="2"/>
        <v>1.7269168777342747E-2</v>
      </c>
      <c r="H7" s="26">
        <f t="shared" si="2"/>
        <v>9.810498071440632E-3</v>
      </c>
      <c r="I7" s="26">
        <f t="shared" si="2"/>
        <v>8.7582798864472622E-2</v>
      </c>
      <c r="J7" s="26">
        <f t="shared" si="2"/>
        <v>9.1503267973847002E-4</v>
      </c>
      <c r="K7" s="26"/>
      <c r="L7" s="26"/>
      <c r="M7" s="26"/>
      <c r="N7" s="26">
        <f ca="1">+N5/F13-1</f>
        <v>4.1756266284374899E-2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7" t="s">
        <v>19</v>
      </c>
      <c r="B9" s="189" t="s">
        <v>154</v>
      </c>
      <c r="C9" s="190"/>
      <c r="D9" s="191" t="s">
        <v>5</v>
      </c>
      <c r="E9" s="193" t="str">
        <f>"ROK NARASTAJĄCO
STYCZEŃ-" &amp; B9</f>
        <v>ROK NARASTAJĄCO
STYCZEŃ-WRZESIEŃ</v>
      </c>
      <c r="F9" s="194"/>
      <c r="G9" s="191" t="s">
        <v>5</v>
      </c>
      <c r="N9" s="19"/>
    </row>
    <row r="10" spans="1:33" ht="26.25" customHeight="1">
      <c r="A10" s="188"/>
      <c r="B10" s="60">
        <v>2022</v>
      </c>
      <c r="C10" s="60">
        <v>2021</v>
      </c>
      <c r="D10" s="192"/>
      <c r="E10" s="60">
        <v>2022</v>
      </c>
      <c r="F10" s="60">
        <v>2021</v>
      </c>
      <c r="G10" s="192"/>
      <c r="H10" s="3"/>
      <c r="N10" s="19"/>
    </row>
    <row r="11" spans="1:33" ht="19.5" customHeight="1">
      <c r="A11" s="71" t="s">
        <v>20</v>
      </c>
      <c r="B11" s="21">
        <f ca="1">OFFSET(A3,,COUNTA(B3:M3),,)</f>
        <v>5734</v>
      </c>
      <c r="C11" s="21">
        <f ca="1">OFFSET(T3,,COUNTA(B3:M3),,)</f>
        <v>5683</v>
      </c>
      <c r="D11" s="74">
        <f ca="1">+B11/C11-1</f>
        <v>8.9741333802568768E-3</v>
      </c>
      <c r="E11" s="21">
        <f>N3</f>
        <v>71897</v>
      </c>
      <c r="F11" s="71">
        <f ca="1">SUM(OFFSET(U3,,,,COUNTA(B3:M3)))</f>
        <v>69105</v>
      </c>
      <c r="G11" s="74">
        <f ca="1">+E11/F11-1</f>
        <v>4.0402286375804897E-2</v>
      </c>
      <c r="H11" s="3"/>
      <c r="N11" s="19"/>
    </row>
    <row r="12" spans="1:33" ht="19.5" customHeight="1">
      <c r="A12" s="71" t="s">
        <v>21</v>
      </c>
      <c r="B12" s="21">
        <f ca="1">OFFSET(A4,,COUNTA(B4:M4),,)</f>
        <v>1923</v>
      </c>
      <c r="C12" s="21">
        <f ca="1">OFFSET(T4,,COUNTA(B4:M4),,)</f>
        <v>1967</v>
      </c>
      <c r="D12" s="74">
        <f ca="1">+B12/C12-1</f>
        <v>-2.2369089984748403E-2</v>
      </c>
      <c r="E12" s="21">
        <f>N4</f>
        <v>19664</v>
      </c>
      <c r="F12" s="71">
        <f ca="1">SUM(OFFSET(U4,,,,COUNTA(B4:M4)))</f>
        <v>18786</v>
      </c>
      <c r="G12" s="74">
        <f ca="1">+E12/F12-1</f>
        <v>4.6736931757692002E-2</v>
      </c>
      <c r="N12" s="19"/>
      <c r="Q12" s="31"/>
    </row>
    <row r="13" spans="1:33" ht="19.5" customHeight="1">
      <c r="A13" s="69" t="s">
        <v>18</v>
      </c>
      <c r="B13" s="21">
        <f ca="1">SUM(B11:B12)</f>
        <v>7657</v>
      </c>
      <c r="C13" s="21">
        <f ca="1">SUM(C11:C12)</f>
        <v>7650</v>
      </c>
      <c r="D13" s="74">
        <f ca="1">+B13/C13-1</f>
        <v>9.1503267973847002E-4</v>
      </c>
      <c r="E13" s="21">
        <f>SUM(E11:E12)</f>
        <v>91561</v>
      </c>
      <c r="F13" s="21">
        <f ca="1">SUM(F11:F12)</f>
        <v>87891</v>
      </c>
      <c r="G13" s="74">
        <f ca="1">+E13/F13-1</f>
        <v>4.1756266284374899E-2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topLeftCell="C1" zoomScale="90" zoomScaleNormal="90" workbookViewId="0">
      <selection activeCell="J3" sqref="J3:J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5" t="s">
        <v>111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5" t="s">
        <v>98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4" ht="15.75" customHeight="1">
      <c r="A2" s="22" t="s">
        <v>19</v>
      </c>
      <c r="B2" s="122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2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>
        <v>3412</v>
      </c>
      <c r="G3" s="1">
        <v>3241</v>
      </c>
      <c r="H3" s="1">
        <v>2715</v>
      </c>
      <c r="I3" s="1">
        <v>2326</v>
      </c>
      <c r="J3" s="1">
        <v>1469</v>
      </c>
      <c r="K3" s="1"/>
      <c r="L3" s="1"/>
      <c r="M3" s="4"/>
      <c r="N3" s="1">
        <f>SUM(B3:M3)</f>
        <v>20998</v>
      </c>
      <c r="O3" s="11">
        <f>N3/N5</f>
        <v>0.6837512211006187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>
        <v>1469</v>
      </c>
      <c r="G4" s="12">
        <v>1513</v>
      </c>
      <c r="H4" s="12">
        <v>1390</v>
      </c>
      <c r="I4" s="12">
        <v>1276</v>
      </c>
      <c r="J4" s="12">
        <v>965</v>
      </c>
      <c r="K4" s="12"/>
      <c r="L4" s="12"/>
      <c r="M4" s="13"/>
      <c r="N4" s="1">
        <f>SUM(B4:M4)</f>
        <v>9712</v>
      </c>
      <c r="O4" s="11">
        <f>N4/N5</f>
        <v>0.3162487788993813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108</v>
      </c>
      <c r="B5" s="5">
        <f>SUM(B3:B4)</f>
        <v>1211</v>
      </c>
      <c r="C5" s="5">
        <f>SUM(C3:C4)</f>
        <v>1772</v>
      </c>
      <c r="D5" s="5">
        <f>SUM(D3:D4)</f>
        <v>3869</v>
      </c>
      <c r="E5" s="5">
        <f>SUM(E3:E4)</f>
        <v>4082</v>
      </c>
      <c r="F5" s="5">
        <f t="shared" ref="F5:H5" si="0">SUM(F3:F4)</f>
        <v>4881</v>
      </c>
      <c r="G5" s="5">
        <f t="shared" si="0"/>
        <v>4754</v>
      </c>
      <c r="H5" s="5">
        <f t="shared" si="0"/>
        <v>4105</v>
      </c>
      <c r="I5" s="5">
        <f t="shared" ref="I5:J5" si="1">SUM(I3:I4)</f>
        <v>3602</v>
      </c>
      <c r="J5" s="5">
        <f t="shared" si="1"/>
        <v>2434</v>
      </c>
      <c r="K5" s="5"/>
      <c r="L5" s="5"/>
      <c r="M5" s="5"/>
      <c r="N5" s="5">
        <f>SUM(B5:M5)</f>
        <v>30710</v>
      </c>
      <c r="O5" s="11">
        <v>1</v>
      </c>
      <c r="T5" s="156" t="s">
        <v>86</v>
      </c>
      <c r="U5" s="157">
        <v>711</v>
      </c>
      <c r="V5" s="157">
        <v>1307</v>
      </c>
      <c r="W5" s="157">
        <v>3125</v>
      </c>
      <c r="X5" s="157">
        <v>4024</v>
      </c>
      <c r="Y5" s="157">
        <v>4420</v>
      </c>
      <c r="Z5" s="157">
        <v>4539</v>
      </c>
      <c r="AA5" s="157">
        <v>4116</v>
      </c>
      <c r="AB5" s="157">
        <v>3369</v>
      </c>
      <c r="AC5" s="157">
        <v>2558</v>
      </c>
      <c r="AD5" s="157">
        <v>2035</v>
      </c>
      <c r="AE5" s="157">
        <v>1742</v>
      </c>
      <c r="AF5" s="157">
        <v>2343</v>
      </c>
      <c r="AG5" s="157">
        <v>34289</v>
      </c>
    </row>
    <row r="6" spans="1:34" ht="15.75" customHeight="1">
      <c r="A6" s="136" t="s">
        <v>109</v>
      </c>
      <c r="B6" s="24">
        <f>B5/AF5-1</f>
        <v>-0.48314127187366629</v>
      </c>
      <c r="C6" s="24">
        <f>C5/B5-1</f>
        <v>0.46325350949628397</v>
      </c>
      <c r="D6" s="24">
        <f>D5/C5-1</f>
        <v>1.1834085778781041</v>
      </c>
      <c r="E6" s="24">
        <f>E5/D5-1</f>
        <v>5.5052985267511012E-2</v>
      </c>
      <c r="F6" s="24">
        <f t="shared" ref="F6:J6" si="2">F5/E5-1</f>
        <v>0.19573738363547277</v>
      </c>
      <c r="G6" s="24">
        <f t="shared" si="2"/>
        <v>-2.6019258348699004E-2</v>
      </c>
      <c r="H6" s="24">
        <f t="shared" si="2"/>
        <v>-0.1365166175851914</v>
      </c>
      <c r="I6" s="24">
        <f t="shared" si="2"/>
        <v>-0.1225334957369062</v>
      </c>
      <c r="J6" s="24">
        <f t="shared" si="2"/>
        <v>-0.32426429761243758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0.70323488045007032</v>
      </c>
      <c r="C7" s="26">
        <f>C5/V5-1</f>
        <v>0.35577658760520281</v>
      </c>
      <c r="D7" s="26">
        <f>D5/W5-1</f>
        <v>0.23808000000000007</v>
      </c>
      <c r="E7" s="26">
        <f>E5/X5-1</f>
        <v>1.4413518886679855E-2</v>
      </c>
      <c r="F7" s="26">
        <f t="shared" ref="F7:J7" si="3">F5/Y5-1</f>
        <v>0.10429864253393673</v>
      </c>
      <c r="G7" s="26">
        <f t="shared" si="3"/>
        <v>4.736726151134607E-2</v>
      </c>
      <c r="H7" s="26">
        <f t="shared" si="3"/>
        <v>-2.6724975704567333E-3</v>
      </c>
      <c r="I7" s="26">
        <f t="shared" si="3"/>
        <v>6.9159988127040606E-2</v>
      </c>
      <c r="J7" s="26">
        <f t="shared" si="3"/>
        <v>-4.8475371383893684E-2</v>
      </c>
      <c r="K7" s="26"/>
      <c r="L7" s="26"/>
      <c r="M7" s="26"/>
      <c r="N7" s="26">
        <f ca="1">+N5/F13-1</f>
        <v>9.0205545102772566E-2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7" t="s">
        <v>19</v>
      </c>
      <c r="B9" s="189" t="str">
        <f>'R_PTW 2022vs2021'!B9:C9</f>
        <v>WRZESIEŃ</v>
      </c>
      <c r="C9" s="190"/>
      <c r="D9" s="191" t="s">
        <v>5</v>
      </c>
      <c r="E9" s="196" t="str">
        <f>"ROK NARASTAJĄCO
STYCZEŃ-"&amp;B9</f>
        <v>ROK NARASTAJĄCO
STYCZEŃ-WRZESIEŃ</v>
      </c>
      <c r="F9" s="197"/>
      <c r="G9" s="198" t="s">
        <v>5</v>
      </c>
      <c r="N9" s="19"/>
      <c r="T9" s="63"/>
      <c r="U9" s="17"/>
      <c r="V9" s="17"/>
      <c r="AA9" s="3"/>
    </row>
    <row r="10" spans="1:34" ht="26.25" customHeight="1">
      <c r="A10" s="188"/>
      <c r="B10" s="60">
        <v>2022</v>
      </c>
      <c r="C10" s="60">
        <v>2021</v>
      </c>
      <c r="D10" s="195"/>
      <c r="E10" s="60">
        <v>2022</v>
      </c>
      <c r="F10" s="60">
        <v>2021</v>
      </c>
      <c r="G10" s="195"/>
      <c r="H10" s="3"/>
      <c r="N10" s="19"/>
      <c r="T10" s="162"/>
      <c r="U10" s="64"/>
      <c r="V10" s="64"/>
      <c r="AA10" s="3"/>
    </row>
    <row r="11" spans="1:34" ht="18" customHeight="1">
      <c r="A11" s="16" t="s">
        <v>20</v>
      </c>
      <c r="B11" s="21">
        <f ca="1">OFFSET(A3,,COUNTA(B3:M3),,)</f>
        <v>1469</v>
      </c>
      <c r="C11" s="21">
        <f ca="1">OFFSET(T3,,COUNTA(B3:M3),,)</f>
        <v>1461</v>
      </c>
      <c r="D11" s="74">
        <f ca="1">+B11/C11-1</f>
        <v>5.4757015742641357E-3</v>
      </c>
      <c r="E11" s="21">
        <f>N3</f>
        <v>20998</v>
      </c>
      <c r="F11" s="71">
        <f ca="1">SUM(OFFSET(U3,,,,COUNTA(B3:M3)))</f>
        <v>18012</v>
      </c>
      <c r="G11" s="74">
        <f ca="1">+E11/F11-1</f>
        <v>0.16577836997557194</v>
      </c>
      <c r="H11" s="3"/>
      <c r="N11" s="19"/>
      <c r="T11" s="162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f ca="1">OFFSET(A4,,COUNTA(B4:M4),,)</f>
        <v>965</v>
      </c>
      <c r="C12" s="21">
        <f ca="1">OFFSET(T4,,COUNTA(B4:M4),,)</f>
        <v>1097</v>
      </c>
      <c r="D12" s="74">
        <f ca="1">+B12/C12-1</f>
        <v>-0.12032816773017319</v>
      </c>
      <c r="E12" s="21">
        <f>N4</f>
        <v>9712</v>
      </c>
      <c r="F12" s="71">
        <f ca="1">SUM(OFFSET(U4,,,,COUNTA(B4:M4)))</f>
        <v>10157</v>
      </c>
      <c r="G12" s="74">
        <f ca="1">+E12/F12-1</f>
        <v>-4.3812149256670319E-2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f ca="1">SUM(B11:B12)</f>
        <v>2434</v>
      </c>
      <c r="C13" s="21">
        <f ca="1">SUM(C11:C12)</f>
        <v>2558</v>
      </c>
      <c r="D13" s="74">
        <f ca="1">+B13/C13-1</f>
        <v>-4.8475371383893684E-2</v>
      </c>
      <c r="E13" s="21">
        <f>SUM(E11:E12)</f>
        <v>30710</v>
      </c>
      <c r="F13" s="21">
        <f ca="1">SUM(F11:F12)</f>
        <v>28169</v>
      </c>
      <c r="G13" s="74">
        <f ca="1">+E13/F13-1</f>
        <v>9.0205545102772566E-2</v>
      </c>
      <c r="I13" s="146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70" zoomScaleNormal="70" workbookViewId="0">
      <selection activeCell="J13" sqref="J13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9" t="s">
        <v>112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f t="shared" ref="N4:N9" si="0">SUM(B4:M4)</f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f t="shared" si="0"/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f>+'R_MC&amp;MP struktura 2022'!B10</f>
        <v>856</v>
      </c>
      <c r="C9" s="5">
        <f>+'R_MC&amp;MP struktura 2022'!C10</f>
        <v>1276</v>
      </c>
      <c r="D9" s="5">
        <f>+'R_MC&amp;MP struktura 2022'!D10</f>
        <v>2828</v>
      </c>
      <c r="E9" s="5">
        <f>+'R_MC&amp;MP struktura 2022'!E10</f>
        <v>2875</v>
      </c>
      <c r="F9" s="5">
        <f>+'R_MC&amp;MP struktura 2022'!F10</f>
        <v>3412</v>
      </c>
      <c r="G9" s="5">
        <f>+'R_MC&amp;MP struktura 2022'!G10</f>
        <v>3241</v>
      </c>
      <c r="H9" s="5">
        <v>2715</v>
      </c>
      <c r="I9" s="5">
        <v>2326</v>
      </c>
      <c r="J9" s="5">
        <v>1469</v>
      </c>
      <c r="K9" s="5"/>
      <c r="L9" s="5"/>
      <c r="M9" s="5"/>
      <c r="N9" s="27">
        <f t="shared" si="0"/>
        <v>20998</v>
      </c>
      <c r="O9" s="3"/>
      <c r="R9" s="88"/>
    </row>
    <row r="10" spans="1:18">
      <c r="A10" s="137" t="s">
        <v>113</v>
      </c>
      <c r="B10" s="33">
        <f>+B9/B8-1</f>
        <v>1.0878048780487806</v>
      </c>
      <c r="C10" s="33">
        <f>+C9/C8-1</f>
        <v>0.40838852097130252</v>
      </c>
      <c r="D10" s="33">
        <f>+D9/D8-1</f>
        <v>0.27215474583895638</v>
      </c>
      <c r="E10" s="33">
        <f>+E9/E8-1</f>
        <v>-3.1206657420249639E-3</v>
      </c>
      <c r="F10" s="33">
        <f t="shared" ref="F10:J10" si="1">+F9/F8-1</f>
        <v>0.15153560580492753</v>
      </c>
      <c r="G10" s="33">
        <f t="shared" si="1"/>
        <v>0.13799157303370779</v>
      </c>
      <c r="H10" s="33">
        <f t="shared" si="1"/>
        <v>0.12051176227816751</v>
      </c>
      <c r="I10" s="33">
        <f t="shared" si="1"/>
        <v>0.22808870116156288</v>
      </c>
      <c r="J10" s="33">
        <f t="shared" si="1"/>
        <v>5.4757015742641357E-3</v>
      </c>
      <c r="K10" s="33"/>
      <c r="L10" s="33"/>
      <c r="M10" s="33"/>
      <c r="N10" s="33">
        <f ca="1">+N9/F14-1</f>
        <v>0.16577836997557194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7" t="s">
        <v>19</v>
      </c>
      <c r="B12" s="189" t="str">
        <f>'R_PTW 2022vs2021'!B9:C9</f>
        <v>WRZESIEŃ</v>
      </c>
      <c r="C12" s="190"/>
      <c r="D12" s="191" t="s">
        <v>5</v>
      </c>
      <c r="E12" s="196" t="str">
        <f>"ROK NARASTAJĄCO
STYCZEŃ-"&amp;B12</f>
        <v>ROK NARASTAJĄCO
STYCZEŃ-WRZESIEŃ</v>
      </c>
      <c r="F12" s="197"/>
      <c r="G12" s="198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8"/>
      <c r="B13" s="60">
        <v>2022</v>
      </c>
      <c r="C13" s="60">
        <v>2021</v>
      </c>
      <c r="D13" s="195"/>
      <c r="E13" s="60">
        <v>2022</v>
      </c>
      <c r="F13" s="60">
        <v>2021</v>
      </c>
      <c r="G13" s="195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f ca="1">OFFSET(A9,,COUNTA(B10:M10),,)</f>
        <v>1469</v>
      </c>
      <c r="C14" s="58">
        <f ca="1">OFFSET(A8,,COUNTA(B10:M10),,)</f>
        <v>1461</v>
      </c>
      <c r="D14" s="59">
        <f ca="1">+B14/C14-1</f>
        <v>5.4757015742641357E-3</v>
      </c>
      <c r="E14" s="58">
        <f>+N9</f>
        <v>20998</v>
      </c>
      <c r="F14" s="57">
        <f ca="1">SUM(OFFSET(B8,,,,COUNTA(B10:M10)))</f>
        <v>18012</v>
      </c>
      <c r="G14" s="59">
        <f ca="1">+E14/F14-1</f>
        <v>0.16577836997557194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102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11">
        <f t="shared" ref="B46:N46" si="2">+B45/B6</f>
        <v>0.30217391304347824</v>
      </c>
      <c r="C46" s="11">
        <f t="shared" si="2"/>
        <v>0.37625979843225082</v>
      </c>
      <c r="D46" s="11">
        <f t="shared" si="2"/>
        <v>0.2320110701107011</v>
      </c>
      <c r="E46" s="11">
        <f t="shared" si="2"/>
        <v>0.19865642994241842</v>
      </c>
      <c r="F46" s="11">
        <f t="shared" si="2"/>
        <v>0.31614981876761983</v>
      </c>
      <c r="G46" s="11">
        <f t="shared" si="2"/>
        <v>0.25322782174094127</v>
      </c>
      <c r="H46" s="11">
        <f t="shared" si="2"/>
        <v>0.19461077844311378</v>
      </c>
      <c r="I46" s="11">
        <f t="shared" si="2"/>
        <v>0.21739130434782608</v>
      </c>
      <c r="J46" s="11">
        <f t="shared" si="2"/>
        <v>0.25163398692810457</v>
      </c>
      <c r="K46" s="11">
        <f t="shared" si="2"/>
        <v>0.37116912599318957</v>
      </c>
      <c r="L46" s="11">
        <f t="shared" si="2"/>
        <v>0.43760129659643437</v>
      </c>
      <c r="M46" s="11">
        <f t="shared" si="2"/>
        <v>0.53846153846153844</v>
      </c>
      <c r="N46" s="11">
        <f t="shared" si="2"/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11">
        <f t="shared" ref="B48:N48" si="3">+B47/B8</f>
        <v>0.77073170731707319</v>
      </c>
      <c r="C48" s="11">
        <f t="shared" si="3"/>
        <v>0.58609271523178808</v>
      </c>
      <c r="D48" s="11">
        <f t="shared" si="3"/>
        <v>0.37156995051731895</v>
      </c>
      <c r="E48" s="11">
        <f t="shared" si="3"/>
        <v>0.25242718446601942</v>
      </c>
      <c r="F48" s="11">
        <f t="shared" si="3"/>
        <v>0.22848464394195073</v>
      </c>
      <c r="G48" s="11">
        <f t="shared" si="3"/>
        <v>0.22191011235955055</v>
      </c>
      <c r="H48" s="11">
        <f t="shared" si="3"/>
        <v>0.24061081304168386</v>
      </c>
      <c r="I48" s="11">
        <f t="shared" si="3"/>
        <v>0.20591341077085534</v>
      </c>
      <c r="J48" s="11">
        <f t="shared" si="3"/>
        <v>0.27515400410677621</v>
      </c>
      <c r="K48" s="11">
        <f t="shared" si="3"/>
        <v>0.17284991568296795</v>
      </c>
      <c r="L48" s="11">
        <f t="shared" si="3"/>
        <v>0.21008403361344538</v>
      </c>
      <c r="M48" s="11">
        <f t="shared" si="3"/>
        <v>0.18396946564885497</v>
      </c>
      <c r="N48" s="11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f>SUM(B49:M49)</f>
        <v>1985</v>
      </c>
    </row>
    <row r="50" spans="1:15" hidden="1">
      <c r="B50" s="11">
        <f t="shared" ref="B50:N50" si="4">+B49/B9</f>
        <v>0.19976635514018692</v>
      </c>
      <c r="C50" s="11">
        <f t="shared" si="4"/>
        <v>0.2170846394984326</v>
      </c>
      <c r="D50" s="11">
        <f t="shared" si="4"/>
        <v>0.24328147100424327</v>
      </c>
      <c r="E50" s="11">
        <f t="shared" si="4"/>
        <v>0.29530434782608694</v>
      </c>
      <c r="F50" s="11">
        <f t="shared" si="4"/>
        <v>0</v>
      </c>
      <c r="G50" s="11">
        <f t="shared" si="4"/>
        <v>0</v>
      </c>
      <c r="H50" s="11">
        <f t="shared" si="4"/>
        <v>0</v>
      </c>
      <c r="I50" s="11">
        <f t="shared" si="4"/>
        <v>0</v>
      </c>
      <c r="J50" s="11">
        <f t="shared" si="4"/>
        <v>0</v>
      </c>
      <c r="K50" s="11" t="e">
        <f t="shared" si="4"/>
        <v>#DIV/0!</v>
      </c>
      <c r="L50" s="11" t="e">
        <f t="shared" si="4"/>
        <v>#DIV/0!</v>
      </c>
      <c r="M50" s="11" t="e">
        <f t="shared" si="4"/>
        <v>#DIV/0!</v>
      </c>
      <c r="N50" s="11">
        <f t="shared" si="4"/>
        <v>9.4532812648823697E-2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J1" zoomScale="70" zoomScaleNormal="70" workbookViewId="0">
      <selection activeCell="T45" sqref="T45:X47"/>
    </sheetView>
  </sheetViews>
  <sheetFormatPr defaultColWidth="9.140625" defaultRowHeight="12.75"/>
  <cols>
    <col min="1" max="1" width="2.42578125" style="127" customWidth="1"/>
    <col min="2" max="2" width="9.7109375" style="127" customWidth="1"/>
    <col min="3" max="3" width="16.7109375" style="127" customWidth="1"/>
    <col min="4" max="4" width="10" style="127" customWidth="1"/>
    <col min="5" max="5" width="8.5703125" style="127" customWidth="1"/>
    <col min="6" max="6" width="9.42578125" style="127" customWidth="1"/>
    <col min="7" max="8" width="8.5703125" style="127" customWidth="1"/>
    <col min="9" max="9" width="3.42578125" style="127" customWidth="1"/>
    <col min="10" max="10" width="23.140625" style="127" customWidth="1"/>
    <col min="11" max="11" width="16.85546875" style="127" bestFit="1" customWidth="1"/>
    <col min="12" max="13" width="8.7109375" style="127" customWidth="1"/>
    <col min="14" max="14" width="9.42578125" style="127" customWidth="1"/>
    <col min="15" max="16" width="8.7109375" style="127" customWidth="1"/>
    <col min="17" max="17" width="3.140625" style="127" customWidth="1"/>
    <col min="18" max="18" width="20.85546875" style="127" customWidth="1"/>
    <col min="19" max="19" width="16.85546875" style="127" bestFit="1" customWidth="1"/>
    <col min="20" max="21" width="8.85546875" style="127" customWidth="1"/>
    <col min="22" max="22" width="9.42578125" style="127" customWidth="1"/>
    <col min="23" max="24" width="8.85546875" style="127" customWidth="1"/>
    <col min="25" max="16384" width="9.140625" style="127"/>
  </cols>
  <sheetData>
    <row r="2" spans="2:24" ht="14.25">
      <c r="B2" s="215" t="s">
        <v>114</v>
      </c>
      <c r="C2" s="215"/>
      <c r="D2" s="215"/>
      <c r="E2" s="215"/>
      <c r="F2" s="215"/>
      <c r="G2" s="215"/>
      <c r="H2" s="215"/>
      <c r="I2" s="126"/>
      <c r="J2" s="216" t="s">
        <v>116</v>
      </c>
      <c r="K2" s="216"/>
      <c r="L2" s="216"/>
      <c r="M2" s="216"/>
      <c r="N2" s="216"/>
      <c r="O2" s="216"/>
      <c r="P2" s="216"/>
      <c r="R2" s="216" t="s">
        <v>117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64</v>
      </c>
      <c r="C3" s="219" t="s">
        <v>67</v>
      </c>
      <c r="D3" s="221" t="s">
        <v>155</v>
      </c>
      <c r="E3" s="222"/>
      <c r="F3" s="222"/>
      <c r="G3" s="222"/>
      <c r="H3" s="223"/>
      <c r="I3" s="128"/>
      <c r="J3" s="217" t="s">
        <v>68</v>
      </c>
      <c r="K3" s="210" t="s">
        <v>67</v>
      </c>
      <c r="L3" s="221" t="str">
        <f>D3</f>
        <v>Styczeń-Wrzesień</v>
      </c>
      <c r="M3" s="222"/>
      <c r="N3" s="222"/>
      <c r="O3" s="222"/>
      <c r="P3" s="223"/>
      <c r="R3" s="217" t="s">
        <v>70</v>
      </c>
      <c r="S3" s="210" t="s">
        <v>67</v>
      </c>
      <c r="T3" s="221" t="str">
        <f>L3</f>
        <v>Styczeń-Wrzesień</v>
      </c>
      <c r="U3" s="222"/>
      <c r="V3" s="222"/>
      <c r="W3" s="222"/>
      <c r="X3" s="223"/>
    </row>
    <row r="4" spans="2:24" ht="15" customHeight="1">
      <c r="B4" s="218"/>
      <c r="C4" s="220"/>
      <c r="D4" s="93">
        <v>2022</v>
      </c>
      <c r="E4" s="94" t="s">
        <v>65</v>
      </c>
      <c r="F4" s="93">
        <v>2021</v>
      </c>
      <c r="G4" s="94" t="s">
        <v>65</v>
      </c>
      <c r="H4" s="183" t="s">
        <v>66</v>
      </c>
      <c r="I4" s="129"/>
      <c r="J4" s="224"/>
      <c r="K4" s="211"/>
      <c r="L4" s="213">
        <f>D4</f>
        <v>2022</v>
      </c>
      <c r="M4" s="213">
        <f>F4</f>
        <v>2021</v>
      </c>
      <c r="N4" s="203" t="s">
        <v>71</v>
      </c>
      <c r="O4" s="203" t="s">
        <v>115</v>
      </c>
      <c r="P4" s="203" t="s">
        <v>87</v>
      </c>
      <c r="R4" s="224"/>
      <c r="S4" s="211"/>
      <c r="T4" s="213">
        <v>2022</v>
      </c>
      <c r="U4" s="213">
        <v>2021</v>
      </c>
      <c r="V4" s="203" t="s">
        <v>71</v>
      </c>
      <c r="W4" s="203" t="s">
        <v>115</v>
      </c>
      <c r="X4" s="203" t="s">
        <v>87</v>
      </c>
    </row>
    <row r="5" spans="2:24" ht="12.75" customHeight="1">
      <c r="B5" s="141">
        <v>1</v>
      </c>
      <c r="C5" s="163" t="s">
        <v>36</v>
      </c>
      <c r="D5" s="148">
        <v>3799</v>
      </c>
      <c r="E5" s="132">
        <v>0.18092199257072103</v>
      </c>
      <c r="F5" s="148">
        <v>3097</v>
      </c>
      <c r="G5" s="132">
        <v>0.1719409282700422</v>
      </c>
      <c r="H5" s="164">
        <v>0.22667097190829844</v>
      </c>
      <c r="J5" s="218"/>
      <c r="K5" s="212"/>
      <c r="L5" s="204"/>
      <c r="M5" s="204"/>
      <c r="N5" s="204"/>
      <c r="O5" s="204"/>
      <c r="P5" s="204"/>
      <c r="R5" s="218"/>
      <c r="S5" s="212"/>
      <c r="T5" s="204"/>
      <c r="U5" s="204"/>
      <c r="V5" s="204"/>
      <c r="W5" s="204"/>
      <c r="X5" s="204"/>
    </row>
    <row r="6" spans="2:24" ht="15">
      <c r="B6" s="143">
        <v>2</v>
      </c>
      <c r="C6" s="165" t="s">
        <v>35</v>
      </c>
      <c r="D6" s="149">
        <v>2351</v>
      </c>
      <c r="E6" s="120">
        <v>0.11196304409943804</v>
      </c>
      <c r="F6" s="149">
        <v>2009</v>
      </c>
      <c r="G6" s="120">
        <v>0.11153675327559405</v>
      </c>
      <c r="H6" s="166">
        <v>0.17023394723743146</v>
      </c>
      <c r="J6" s="102" t="s">
        <v>44</v>
      </c>
      <c r="K6" s="82" t="s">
        <v>36</v>
      </c>
      <c r="L6" s="178">
        <v>1727</v>
      </c>
      <c r="M6" s="180">
        <v>1302</v>
      </c>
      <c r="N6" s="83">
        <f t="shared" ref="N6:N42" si="0">IFERROR(L6/M6-1,"")</f>
        <v>0.32642089093701987</v>
      </c>
      <c r="O6" s="95"/>
      <c r="P6" s="95"/>
      <c r="R6" s="102" t="s">
        <v>58</v>
      </c>
      <c r="S6" s="82" t="s">
        <v>36</v>
      </c>
      <c r="T6" s="169">
        <v>1666</v>
      </c>
      <c r="U6" s="171">
        <v>1242</v>
      </c>
      <c r="V6" s="83">
        <f t="shared" ref="V6:V47" si="1">IFERROR(T6/U6-1,"")</f>
        <v>0.34138486312399352</v>
      </c>
      <c r="W6" s="95"/>
      <c r="X6" s="95"/>
    </row>
    <row r="7" spans="2:24" ht="15">
      <c r="B7" s="143">
        <v>3</v>
      </c>
      <c r="C7" s="165" t="s">
        <v>2</v>
      </c>
      <c r="D7" s="149">
        <v>2126</v>
      </c>
      <c r="E7" s="120">
        <v>0.10124773787979807</v>
      </c>
      <c r="F7" s="149">
        <v>2092</v>
      </c>
      <c r="G7" s="120">
        <v>0.11614479236064845</v>
      </c>
      <c r="H7" s="166">
        <v>1.6252390057361454E-2</v>
      </c>
      <c r="J7" s="103"/>
      <c r="K7" s="84" t="s">
        <v>37</v>
      </c>
      <c r="L7" s="179">
        <v>1654</v>
      </c>
      <c r="M7" s="181">
        <v>950</v>
      </c>
      <c r="N7" s="85">
        <f t="shared" si="0"/>
        <v>0.74105263157894741</v>
      </c>
      <c r="O7" s="96"/>
      <c r="P7" s="96"/>
      <c r="R7" s="103"/>
      <c r="S7" s="84" t="s">
        <v>35</v>
      </c>
      <c r="T7" s="170">
        <v>690</v>
      </c>
      <c r="U7" s="172">
        <v>654</v>
      </c>
      <c r="V7" s="85">
        <f t="shared" si="1"/>
        <v>5.504587155963292E-2</v>
      </c>
      <c r="W7" s="96"/>
      <c r="X7" s="96"/>
    </row>
    <row r="8" spans="2:24" ht="15">
      <c r="B8" s="143">
        <v>4</v>
      </c>
      <c r="C8" s="165" t="s">
        <v>37</v>
      </c>
      <c r="D8" s="149">
        <v>1655</v>
      </c>
      <c r="E8" s="120">
        <v>7.8817030193351748E-2</v>
      </c>
      <c r="F8" s="149">
        <v>950</v>
      </c>
      <c r="G8" s="120">
        <v>5.2742616033755275E-2</v>
      </c>
      <c r="H8" s="166">
        <v>0.74210526315789482</v>
      </c>
      <c r="J8" s="103"/>
      <c r="K8" s="84" t="s">
        <v>35</v>
      </c>
      <c r="L8" s="179">
        <v>883</v>
      </c>
      <c r="M8" s="181">
        <v>750</v>
      </c>
      <c r="N8" s="85">
        <f t="shared" si="0"/>
        <v>0.17733333333333334</v>
      </c>
      <c r="O8" s="96"/>
      <c r="P8" s="96"/>
      <c r="R8" s="103"/>
      <c r="S8" s="84" t="s">
        <v>97</v>
      </c>
      <c r="T8" s="170">
        <v>610</v>
      </c>
      <c r="U8" s="172">
        <v>489</v>
      </c>
      <c r="V8" s="85">
        <f t="shared" si="1"/>
        <v>0.24744376278118607</v>
      </c>
      <c r="W8" s="96"/>
      <c r="X8" s="96"/>
    </row>
    <row r="9" spans="2:24">
      <c r="B9" s="143">
        <v>5</v>
      </c>
      <c r="C9" s="165" t="s">
        <v>83</v>
      </c>
      <c r="D9" s="149">
        <v>805</v>
      </c>
      <c r="E9" s="160">
        <v>3.8336984474711878E-2</v>
      </c>
      <c r="F9" s="149">
        <v>796</v>
      </c>
      <c r="G9" s="160">
        <v>4.419276038196758E-2</v>
      </c>
      <c r="H9" s="166">
        <v>1.1306532663316604E-2</v>
      </c>
      <c r="J9" s="102"/>
      <c r="K9" s="102" t="s">
        <v>45</v>
      </c>
      <c r="L9" s="177">
        <f>+L10-SUM(L6:L8)</f>
        <v>5025</v>
      </c>
      <c r="M9" s="177">
        <f>+M10-SUM(M6:M8)</f>
        <v>4562</v>
      </c>
      <c r="N9" s="86">
        <f t="shared" si="0"/>
        <v>0.10149057430951336</v>
      </c>
      <c r="O9" s="104"/>
      <c r="P9" s="104"/>
      <c r="R9" s="102"/>
      <c r="S9" s="102" t="s">
        <v>45</v>
      </c>
      <c r="T9" s="177">
        <f>+T10-SUM(T6:T8)</f>
        <v>1958</v>
      </c>
      <c r="U9" s="177">
        <f>+U10-SUM(U6:U8)</f>
        <v>1485</v>
      </c>
      <c r="V9" s="86">
        <f t="shared" si="1"/>
        <v>0.31851851851851842</v>
      </c>
      <c r="W9" s="104"/>
      <c r="X9" s="104"/>
    </row>
    <row r="10" spans="2:24">
      <c r="B10" s="143">
        <v>6</v>
      </c>
      <c r="C10" s="165" t="s">
        <v>57</v>
      </c>
      <c r="D10" s="149">
        <v>803</v>
      </c>
      <c r="E10" s="160">
        <v>3.824173730831508E-2</v>
      </c>
      <c r="F10" s="149">
        <v>872</v>
      </c>
      <c r="G10" s="160">
        <v>4.8412169664667999E-2</v>
      </c>
      <c r="H10" s="166">
        <v>-7.912844036697253E-2</v>
      </c>
      <c r="J10" s="105" t="s">
        <v>46</v>
      </c>
      <c r="K10" s="106"/>
      <c r="L10" s="158">
        <v>9289</v>
      </c>
      <c r="M10" s="158">
        <v>7564</v>
      </c>
      <c r="N10" s="98">
        <f>IFERROR(L10/M10-1,"")</f>
        <v>0.22805393971443677</v>
      </c>
      <c r="O10" s="117">
        <f>L10/$L$42</f>
        <v>0.44237546432993619</v>
      </c>
      <c r="P10" s="117">
        <f>M10/$M$42</f>
        <v>0.41994226071507884</v>
      </c>
      <c r="R10" s="105" t="str">
        <f>R6&amp;" Suma"</f>
        <v>BIG SCOOTER Suma</v>
      </c>
      <c r="S10" s="106"/>
      <c r="T10" s="158">
        <v>4924</v>
      </c>
      <c r="U10" s="158">
        <v>3870</v>
      </c>
      <c r="V10" s="98">
        <f t="shared" si="1"/>
        <v>0.27235142118863043</v>
      </c>
      <c r="W10" s="117">
        <f>T10/$L$42</f>
        <v>0.23449852366892085</v>
      </c>
      <c r="X10" s="117">
        <f>U10/$M$42</f>
        <v>0.21485676215856095</v>
      </c>
    </row>
    <row r="11" spans="2:24" ht="15">
      <c r="B11" s="143">
        <v>7</v>
      </c>
      <c r="C11" s="165" t="s">
        <v>41</v>
      </c>
      <c r="D11" s="149">
        <v>758</v>
      </c>
      <c r="E11" s="120">
        <v>3.6098676064387082E-2</v>
      </c>
      <c r="F11" s="149">
        <v>757</v>
      </c>
      <c r="G11" s="120">
        <v>4.2027537197423942E-2</v>
      </c>
      <c r="H11" s="166">
        <v>1.3210039630118242E-3</v>
      </c>
      <c r="J11" s="102" t="s">
        <v>47</v>
      </c>
      <c r="K11" s="173" t="s">
        <v>41</v>
      </c>
      <c r="L11" s="178">
        <v>73</v>
      </c>
      <c r="M11" s="180">
        <v>68</v>
      </c>
      <c r="N11" s="83">
        <f t="shared" si="0"/>
        <v>7.3529411764705843E-2</v>
      </c>
      <c r="O11" s="95"/>
      <c r="P11" s="95"/>
      <c r="R11" s="102" t="s">
        <v>59</v>
      </c>
      <c r="S11" s="173" t="s">
        <v>37</v>
      </c>
      <c r="T11" s="169">
        <v>706</v>
      </c>
      <c r="U11" s="171">
        <v>581</v>
      </c>
      <c r="V11" s="83">
        <f t="shared" si="1"/>
        <v>0.21514629948364883</v>
      </c>
      <c r="W11" s="95"/>
      <c r="X11" s="95"/>
    </row>
    <row r="12" spans="2:24" ht="15">
      <c r="B12" s="143">
        <v>8</v>
      </c>
      <c r="C12" s="165" t="s">
        <v>105</v>
      </c>
      <c r="D12" s="149">
        <v>707</v>
      </c>
      <c r="E12" s="120">
        <v>3.3669873321268695E-2</v>
      </c>
      <c r="F12" s="149">
        <v>496</v>
      </c>
      <c r="G12" s="120">
        <v>2.7537197423939595E-2</v>
      </c>
      <c r="H12" s="166">
        <v>0.42540322580645151</v>
      </c>
      <c r="J12" s="103"/>
      <c r="K12" s="174" t="s">
        <v>78</v>
      </c>
      <c r="L12" s="179">
        <v>36</v>
      </c>
      <c r="M12" s="181">
        <v>48</v>
      </c>
      <c r="N12" s="85">
        <f t="shared" si="0"/>
        <v>-0.25</v>
      </c>
      <c r="O12" s="96"/>
      <c r="P12" s="96"/>
      <c r="R12" s="103"/>
      <c r="S12" s="174" t="s">
        <v>152</v>
      </c>
      <c r="T12" s="170">
        <v>284</v>
      </c>
      <c r="U12" s="172">
        <v>196</v>
      </c>
      <c r="V12" s="85">
        <f t="shared" si="1"/>
        <v>0.44897959183673475</v>
      </c>
      <c r="W12" s="96"/>
      <c r="X12" s="96"/>
    </row>
    <row r="13" spans="2:24" ht="15">
      <c r="B13" s="143">
        <v>9</v>
      </c>
      <c r="C13" s="165" t="s">
        <v>145</v>
      </c>
      <c r="D13" s="149">
        <v>689</v>
      </c>
      <c r="E13" s="120">
        <v>3.2812648823697492E-2</v>
      </c>
      <c r="F13" s="149">
        <v>355</v>
      </c>
      <c r="G13" s="120">
        <v>1.9709082833666444E-2</v>
      </c>
      <c r="H13" s="166">
        <v>0.94084507042253529</v>
      </c>
      <c r="J13" s="103"/>
      <c r="K13" s="174" t="s">
        <v>83</v>
      </c>
      <c r="L13" s="179">
        <v>31</v>
      </c>
      <c r="M13" s="181">
        <v>22</v>
      </c>
      <c r="N13" s="85">
        <f t="shared" si="0"/>
        <v>0.40909090909090917</v>
      </c>
      <c r="O13" s="96"/>
      <c r="P13" s="96"/>
      <c r="R13" s="103"/>
      <c r="S13" s="174" t="s">
        <v>144</v>
      </c>
      <c r="T13" s="170">
        <v>256</v>
      </c>
      <c r="U13" s="172">
        <v>146</v>
      </c>
      <c r="V13" s="85">
        <f t="shared" si="1"/>
        <v>0.75342465753424648</v>
      </c>
      <c r="W13" s="96"/>
      <c r="X13" s="96"/>
    </row>
    <row r="14" spans="2:24">
      <c r="B14" s="143">
        <v>10</v>
      </c>
      <c r="C14" s="167" t="s">
        <v>80</v>
      </c>
      <c r="D14" s="152">
        <v>678</v>
      </c>
      <c r="E14" s="154">
        <v>3.2288789408515095E-2</v>
      </c>
      <c r="F14" s="152">
        <v>654</v>
      </c>
      <c r="G14" s="154">
        <v>3.6309127248501001E-2</v>
      </c>
      <c r="H14" s="168">
        <v>3.669724770642202E-2</v>
      </c>
      <c r="J14" s="102"/>
      <c r="K14" s="102" t="s">
        <v>45</v>
      </c>
      <c r="L14" s="177">
        <f>+L15-SUM(L11:L13)</f>
        <v>71</v>
      </c>
      <c r="M14" s="177">
        <f>+M15-SUM(M11:M13)</f>
        <v>92</v>
      </c>
      <c r="N14" s="86">
        <f t="shared" si="0"/>
        <v>-0.22826086956521741</v>
      </c>
      <c r="O14" s="104"/>
      <c r="P14" s="104"/>
      <c r="R14" s="102"/>
      <c r="S14" s="102" t="s">
        <v>45</v>
      </c>
      <c r="T14" s="177">
        <f>+T15-SUM(T11:T13)</f>
        <v>736</v>
      </c>
      <c r="U14" s="177">
        <f>+U15-SUM(U11:U13)</f>
        <v>770</v>
      </c>
      <c r="V14" s="86">
        <f t="shared" si="1"/>
        <v>-4.4155844155844171E-2</v>
      </c>
      <c r="W14" s="104"/>
      <c r="X14" s="104"/>
    </row>
    <row r="15" spans="2:24">
      <c r="B15" s="205" t="s">
        <v>42</v>
      </c>
      <c r="C15" s="206"/>
      <c r="D15" s="159">
        <f>SUM(D5:D14)</f>
        <v>14371</v>
      </c>
      <c r="E15" s="110">
        <f>SUM(E5:E14)</f>
        <v>0.68439851414420416</v>
      </c>
      <c r="F15" s="159">
        <f>SUM(F5:F14)</f>
        <v>12078</v>
      </c>
      <c r="G15" s="110">
        <f>SUM(G5:G14)</f>
        <v>0.67055296469020653</v>
      </c>
      <c r="H15" s="101">
        <f>+D15/F15-1</f>
        <v>0.1898493128001324</v>
      </c>
      <c r="J15" s="105" t="s">
        <v>48</v>
      </c>
      <c r="K15" s="106"/>
      <c r="L15" s="158">
        <v>211</v>
      </c>
      <c r="M15" s="158">
        <v>230</v>
      </c>
      <c r="N15" s="98">
        <f t="shared" si="0"/>
        <v>-8.260869565217388E-2</v>
      </c>
      <c r="O15" s="117">
        <f>L15/$L$42</f>
        <v>1.0048576054862368E-2</v>
      </c>
      <c r="P15" s="117">
        <f>M15/$M$42</f>
        <v>1.2769264934488119E-2</v>
      </c>
      <c r="R15" s="105" t="str">
        <f>R11&amp;" Suma"</f>
        <v>CHOPPER &amp; CRUISER Suma</v>
      </c>
      <c r="S15" s="106"/>
      <c r="T15" s="158">
        <v>1982</v>
      </c>
      <c r="U15" s="158">
        <v>1693</v>
      </c>
      <c r="V15" s="98">
        <f t="shared" si="1"/>
        <v>0.17070289427052576</v>
      </c>
      <c r="W15" s="117">
        <f>T15/$L$42</f>
        <v>9.4389941899228502E-2</v>
      </c>
      <c r="X15" s="117">
        <f>U15/$M$42</f>
        <v>9.3992893626471244E-2</v>
      </c>
    </row>
    <row r="16" spans="2:24" ht="15">
      <c r="B16" s="207" t="s">
        <v>43</v>
      </c>
      <c r="C16" s="207"/>
      <c r="D16" s="176">
        <f>+D17-D15</f>
        <v>6627</v>
      </c>
      <c r="E16" s="110">
        <f>+D16/D17</f>
        <v>0.31560148585579578</v>
      </c>
      <c r="F16" s="176">
        <f>+F17-F15</f>
        <v>5934</v>
      </c>
      <c r="G16" s="110">
        <f>+F16/F17</f>
        <v>0.32944703530979347</v>
      </c>
      <c r="H16" s="100">
        <f>+D16/F16-1</f>
        <v>0.11678463094034375</v>
      </c>
      <c r="J16" s="102" t="s">
        <v>49</v>
      </c>
      <c r="K16" s="82" t="s">
        <v>36</v>
      </c>
      <c r="L16" s="169">
        <v>905</v>
      </c>
      <c r="M16" s="171">
        <v>628</v>
      </c>
      <c r="N16" s="83">
        <f t="shared" si="0"/>
        <v>0.44108280254777066</v>
      </c>
      <c r="O16" s="95"/>
      <c r="P16" s="95"/>
      <c r="R16" s="102" t="s">
        <v>60</v>
      </c>
      <c r="S16" s="173" t="s">
        <v>57</v>
      </c>
      <c r="T16" s="169">
        <v>779</v>
      </c>
      <c r="U16" s="171">
        <v>733</v>
      </c>
      <c r="V16" s="83">
        <f t="shared" si="1"/>
        <v>6.2755798090040837E-2</v>
      </c>
      <c r="W16" s="95"/>
      <c r="X16" s="95"/>
    </row>
    <row r="17" spans="2:24" ht="15">
      <c r="B17" s="208" t="s">
        <v>18</v>
      </c>
      <c r="C17" s="208"/>
      <c r="D17" s="145">
        <v>20998</v>
      </c>
      <c r="E17" s="138">
        <v>1</v>
      </c>
      <c r="F17" s="145">
        <v>18012</v>
      </c>
      <c r="G17" s="139">
        <v>0.99999999999999944</v>
      </c>
      <c r="H17" s="140">
        <v>0.16577836997557194</v>
      </c>
      <c r="J17" s="103"/>
      <c r="K17" s="84" t="s">
        <v>83</v>
      </c>
      <c r="L17" s="170">
        <v>379</v>
      </c>
      <c r="M17" s="172">
        <v>477</v>
      </c>
      <c r="N17" s="85">
        <f t="shared" si="0"/>
        <v>-0.20545073375262057</v>
      </c>
      <c r="O17" s="96"/>
      <c r="P17" s="96"/>
      <c r="R17" s="103"/>
      <c r="S17" s="174" t="s">
        <v>35</v>
      </c>
      <c r="T17" s="170">
        <v>750</v>
      </c>
      <c r="U17" s="172">
        <v>638</v>
      </c>
      <c r="V17" s="85">
        <f t="shared" si="1"/>
        <v>0.17554858934169282</v>
      </c>
      <c r="W17" s="96"/>
      <c r="X17" s="96"/>
    </row>
    <row r="18" spans="2:24" ht="15">
      <c r="B18" s="209" t="s">
        <v>104</v>
      </c>
      <c r="C18" s="209"/>
      <c r="D18" s="209"/>
      <c r="E18" s="209"/>
      <c r="F18" s="209"/>
      <c r="G18" s="209"/>
      <c r="H18" s="209"/>
      <c r="J18" s="103"/>
      <c r="K18" s="84" t="s">
        <v>41</v>
      </c>
      <c r="L18" s="170">
        <v>327</v>
      </c>
      <c r="M18" s="172">
        <v>279</v>
      </c>
      <c r="N18" s="85">
        <f t="shared" si="0"/>
        <v>0.17204301075268824</v>
      </c>
      <c r="O18" s="96"/>
      <c r="P18" s="96"/>
      <c r="R18" s="103"/>
      <c r="S18" s="184" t="s">
        <v>36</v>
      </c>
      <c r="T18" s="170">
        <v>709</v>
      </c>
      <c r="U18" s="172">
        <v>585</v>
      </c>
      <c r="V18" s="85">
        <f t="shared" si="1"/>
        <v>0.21196581196581188</v>
      </c>
      <c r="W18" s="96"/>
      <c r="X18" s="96"/>
    </row>
    <row r="19" spans="2:24">
      <c r="B19" s="214" t="s">
        <v>73</v>
      </c>
      <c r="C19" s="214"/>
      <c r="D19" s="214"/>
      <c r="E19" s="214"/>
      <c r="F19" s="214"/>
      <c r="G19" s="214"/>
      <c r="H19" s="214"/>
      <c r="J19" s="102"/>
      <c r="K19" s="107" t="s">
        <v>45</v>
      </c>
      <c r="L19" s="177">
        <f>+L20-SUM(L16:L18)</f>
        <v>1367</v>
      </c>
      <c r="M19" s="177">
        <f>+M20-SUM(M16:M18)</f>
        <v>1225</v>
      </c>
      <c r="N19" s="86">
        <f t="shared" si="0"/>
        <v>0.11591836734693883</v>
      </c>
      <c r="O19" s="104"/>
      <c r="P19" s="104"/>
      <c r="R19" s="102"/>
      <c r="S19" s="107" t="s">
        <v>45</v>
      </c>
      <c r="T19" s="177">
        <f>+T20-SUM(T16:T18)</f>
        <v>4298</v>
      </c>
      <c r="U19" s="177">
        <f>+U20-SUM(U16:U18)</f>
        <v>3684</v>
      </c>
      <c r="V19" s="86">
        <f t="shared" si="1"/>
        <v>0.16666666666666674</v>
      </c>
      <c r="W19" s="104"/>
      <c r="X19" s="104"/>
    </row>
    <row r="20" spans="2:24">
      <c r="B20" s="214"/>
      <c r="C20" s="214"/>
      <c r="D20" s="214"/>
      <c r="E20" s="214"/>
      <c r="F20" s="214"/>
      <c r="G20" s="214"/>
      <c r="H20" s="214"/>
      <c r="J20" s="115" t="s">
        <v>50</v>
      </c>
      <c r="K20" s="108"/>
      <c r="L20" s="158">
        <v>2978</v>
      </c>
      <c r="M20" s="158">
        <v>2609</v>
      </c>
      <c r="N20" s="98">
        <f t="shared" si="0"/>
        <v>0.141433499425067</v>
      </c>
      <c r="O20" s="117">
        <f>L20/$L$42</f>
        <v>0.14182303076483474</v>
      </c>
      <c r="P20" s="117">
        <f>M20/$M$42</f>
        <v>0.14484787919165001</v>
      </c>
      <c r="R20" s="105" t="str">
        <f>R16&amp;" Suma"</f>
        <v>STREET Suma</v>
      </c>
      <c r="S20" s="116"/>
      <c r="T20" s="158">
        <v>6536</v>
      </c>
      <c r="U20" s="158">
        <v>5640</v>
      </c>
      <c r="V20" s="98">
        <f t="shared" si="1"/>
        <v>0.15886524822695036</v>
      </c>
      <c r="W20" s="117">
        <f>T20/$L$42</f>
        <v>0.31126773978474143</v>
      </c>
      <c r="X20" s="117">
        <f>U20/$M$42</f>
        <v>0.31312458361092604</v>
      </c>
    </row>
    <row r="21" spans="2:24" ht="12.75" customHeight="1">
      <c r="J21" s="102" t="s">
        <v>51</v>
      </c>
      <c r="K21" s="173" t="s">
        <v>35</v>
      </c>
      <c r="L21" s="169">
        <v>896</v>
      </c>
      <c r="M21" s="171">
        <v>679</v>
      </c>
      <c r="N21" s="83">
        <f t="shared" si="0"/>
        <v>0.31958762886597936</v>
      </c>
      <c r="O21" s="95"/>
      <c r="P21" s="95"/>
      <c r="R21" s="103" t="s">
        <v>99</v>
      </c>
      <c r="S21" s="173" t="s">
        <v>38</v>
      </c>
      <c r="T21" s="169">
        <v>46</v>
      </c>
      <c r="U21" s="171">
        <v>54</v>
      </c>
      <c r="V21" s="83">
        <f t="shared" si="1"/>
        <v>-0.14814814814814814</v>
      </c>
      <c r="W21" s="95"/>
      <c r="X21" s="95"/>
    </row>
    <row r="22" spans="2:24" ht="15">
      <c r="J22" s="103"/>
      <c r="K22" s="174" t="s">
        <v>36</v>
      </c>
      <c r="L22" s="170">
        <v>527</v>
      </c>
      <c r="M22" s="172">
        <v>618</v>
      </c>
      <c r="N22" s="85">
        <f t="shared" si="0"/>
        <v>-0.1472491909385113</v>
      </c>
      <c r="O22" s="96"/>
      <c r="P22" s="96"/>
      <c r="R22" s="103"/>
      <c r="S22" s="174" t="s">
        <v>40</v>
      </c>
      <c r="T22" s="170">
        <v>41</v>
      </c>
      <c r="U22" s="172">
        <v>36</v>
      </c>
      <c r="V22" s="85">
        <f t="shared" si="1"/>
        <v>0.13888888888888884</v>
      </c>
      <c r="W22" s="96"/>
      <c r="X22" s="96"/>
    </row>
    <row r="23" spans="2:24" ht="15">
      <c r="B23" s="111"/>
      <c r="C23" s="111"/>
      <c r="D23" s="111"/>
      <c r="E23" s="111"/>
      <c r="F23" s="111"/>
      <c r="G23" s="111"/>
      <c r="H23" s="111"/>
      <c r="J23" s="103"/>
      <c r="K23" s="174" t="s">
        <v>38</v>
      </c>
      <c r="L23" s="170">
        <v>334</v>
      </c>
      <c r="M23" s="172">
        <v>356</v>
      </c>
      <c r="N23" s="85">
        <f t="shared" si="0"/>
        <v>-6.1797752808988804E-2</v>
      </c>
      <c r="O23" s="96"/>
      <c r="P23" s="96"/>
      <c r="R23" s="103"/>
      <c r="S23" s="174" t="s">
        <v>2</v>
      </c>
      <c r="T23" s="170">
        <v>26</v>
      </c>
      <c r="U23" s="172">
        <v>34</v>
      </c>
      <c r="V23" s="85">
        <f t="shared" si="1"/>
        <v>-0.23529411764705888</v>
      </c>
      <c r="W23" s="96"/>
      <c r="X23" s="96"/>
    </row>
    <row r="24" spans="2:24">
      <c r="B24" s="111"/>
      <c r="C24" s="111"/>
      <c r="D24" s="111"/>
      <c r="E24" s="111"/>
      <c r="F24" s="111"/>
      <c r="G24" s="111"/>
      <c r="H24" s="111"/>
      <c r="J24" s="102"/>
      <c r="K24" s="107" t="s">
        <v>45</v>
      </c>
      <c r="L24" s="177">
        <f>+L25-SUM(L21:L23)</f>
        <v>734</v>
      </c>
      <c r="M24" s="177">
        <f>+M25-SUM(M21:M23)</f>
        <v>609</v>
      </c>
      <c r="N24" s="86">
        <f t="shared" si="0"/>
        <v>0.20525451559934327</v>
      </c>
      <c r="O24" s="104"/>
      <c r="P24" s="104"/>
      <c r="R24" s="102"/>
      <c r="S24" s="107" t="s">
        <v>45</v>
      </c>
      <c r="T24" s="177">
        <f>+T25-SUM(T21:T23)</f>
        <v>3</v>
      </c>
      <c r="U24" s="177">
        <f>+U25-SUM(U21:U23)</f>
        <v>19</v>
      </c>
      <c r="V24" s="86">
        <f t="shared" si="1"/>
        <v>-0.84210526315789469</v>
      </c>
      <c r="W24" s="104"/>
      <c r="X24" s="104"/>
    </row>
    <row r="25" spans="2:24">
      <c r="B25" s="111"/>
      <c r="C25" s="111"/>
      <c r="D25" s="111"/>
      <c r="E25" s="111"/>
      <c r="F25" s="111"/>
      <c r="G25" s="111"/>
      <c r="H25" s="111"/>
      <c r="J25" s="112" t="s">
        <v>52</v>
      </c>
      <c r="K25" s="108"/>
      <c r="L25" s="158">
        <v>2491</v>
      </c>
      <c r="M25" s="158">
        <v>2262</v>
      </c>
      <c r="N25" s="98">
        <f t="shared" si="0"/>
        <v>0.10123784261715296</v>
      </c>
      <c r="O25" s="117">
        <f>L25/$L$42</f>
        <v>0.11863034574721402</v>
      </c>
      <c r="P25" s="117">
        <f>M25/$M$42</f>
        <v>0.12558294470353099</v>
      </c>
      <c r="R25" s="105" t="str">
        <f>R21&amp;" Suma"</f>
        <v>SPORT-TOURER Suma</v>
      </c>
      <c r="S25" s="108"/>
      <c r="T25" s="158">
        <v>116</v>
      </c>
      <c r="U25" s="158">
        <v>143</v>
      </c>
      <c r="V25" s="98">
        <f t="shared" si="1"/>
        <v>-0.18881118881118886</v>
      </c>
      <c r="W25" s="117">
        <f>T25/$L$42</f>
        <v>5.5243356510143822E-3</v>
      </c>
      <c r="X25" s="117">
        <f>U25/$M$42</f>
        <v>7.9391516766600043E-3</v>
      </c>
    </row>
    <row r="26" spans="2:24" ht="15">
      <c r="B26" s="111"/>
      <c r="C26" s="111"/>
      <c r="D26" s="111"/>
      <c r="E26" s="111"/>
      <c r="F26" s="111"/>
      <c r="G26" s="111"/>
      <c r="H26" s="111"/>
      <c r="J26" s="109" t="s">
        <v>146</v>
      </c>
      <c r="K26" s="82" t="s">
        <v>2</v>
      </c>
      <c r="L26" s="169">
        <v>565</v>
      </c>
      <c r="M26" s="171">
        <v>624</v>
      </c>
      <c r="N26" s="83">
        <f t="shared" si="0"/>
        <v>-9.4551282051282048E-2</v>
      </c>
      <c r="O26" s="95"/>
      <c r="P26" s="95"/>
      <c r="R26" s="109" t="s">
        <v>61</v>
      </c>
      <c r="S26" s="173" t="s">
        <v>35</v>
      </c>
      <c r="T26" s="169">
        <v>215</v>
      </c>
      <c r="U26" s="171">
        <v>107</v>
      </c>
      <c r="V26" s="85">
        <f t="shared" si="1"/>
        <v>1.0093457943925235</v>
      </c>
      <c r="W26" s="95"/>
      <c r="X26" s="95"/>
    </row>
    <row r="27" spans="2:24" ht="15">
      <c r="B27" s="111"/>
      <c r="C27" s="111"/>
      <c r="D27" s="111"/>
      <c r="E27" s="111"/>
      <c r="F27" s="111"/>
      <c r="G27" s="111"/>
      <c r="H27" s="111"/>
      <c r="J27" s="103"/>
      <c r="K27" s="84" t="s">
        <v>35</v>
      </c>
      <c r="L27" s="170">
        <v>353</v>
      </c>
      <c r="M27" s="172">
        <v>356</v>
      </c>
      <c r="N27" s="85">
        <f t="shared" si="0"/>
        <v>-8.4269662921347965E-3</v>
      </c>
      <c r="O27" s="96"/>
      <c r="P27" s="96"/>
      <c r="Q27" s="175"/>
      <c r="R27" s="103"/>
      <c r="S27" s="174" t="s">
        <v>36</v>
      </c>
      <c r="T27" s="170">
        <v>173</v>
      </c>
      <c r="U27" s="172">
        <v>169</v>
      </c>
      <c r="V27" s="85">
        <f t="shared" si="1"/>
        <v>2.3668639053254337E-2</v>
      </c>
      <c r="W27" s="96"/>
      <c r="X27" s="96"/>
    </row>
    <row r="28" spans="2:24" ht="15">
      <c r="B28" s="111"/>
      <c r="C28" s="111"/>
      <c r="D28" s="111"/>
      <c r="E28" s="111"/>
      <c r="F28" s="111"/>
      <c r="G28" s="111"/>
      <c r="H28" s="111"/>
      <c r="J28" s="103"/>
      <c r="K28" s="84" t="s">
        <v>105</v>
      </c>
      <c r="L28" s="170">
        <v>287</v>
      </c>
      <c r="M28" s="172">
        <v>245</v>
      </c>
      <c r="N28" s="85">
        <f t="shared" si="0"/>
        <v>0.17142857142857149</v>
      </c>
      <c r="O28" s="96"/>
      <c r="P28" s="96"/>
      <c r="R28" s="103"/>
      <c r="S28" s="174" t="s">
        <v>143</v>
      </c>
      <c r="T28" s="170">
        <v>109</v>
      </c>
      <c r="U28" s="172">
        <v>77</v>
      </c>
      <c r="V28" s="85">
        <f t="shared" si="1"/>
        <v>0.4155844155844155</v>
      </c>
      <c r="W28" s="96"/>
      <c r="X28" s="96"/>
    </row>
    <row r="29" spans="2:24" ht="12.75" customHeight="1">
      <c r="B29" s="111"/>
      <c r="C29" s="111"/>
      <c r="D29" s="111"/>
      <c r="E29" s="111"/>
      <c r="F29" s="111"/>
      <c r="G29" s="111"/>
      <c r="H29" s="111"/>
      <c r="I29" s="130"/>
      <c r="J29" s="102"/>
      <c r="K29" s="102" t="s">
        <v>45</v>
      </c>
      <c r="L29" s="177">
        <f>+L30-SUM(L26:L28)</f>
        <v>848</v>
      </c>
      <c r="M29" s="177">
        <f>+M30-SUM(M26:M28)</f>
        <v>732</v>
      </c>
      <c r="N29" s="86">
        <f t="shared" si="0"/>
        <v>0.15846994535519121</v>
      </c>
      <c r="O29" s="104"/>
      <c r="P29" s="104"/>
      <c r="R29" s="102"/>
      <c r="S29" s="102" t="s">
        <v>45</v>
      </c>
      <c r="T29" s="177">
        <f>+T30-SUM(T26:T28)</f>
        <v>200</v>
      </c>
      <c r="U29" s="177">
        <f>+U30-SUM(U26:U28)</f>
        <v>209</v>
      </c>
      <c r="V29" s="86">
        <f t="shared" si="1"/>
        <v>-4.3062200956937802E-2</v>
      </c>
      <c r="W29" s="104"/>
      <c r="X29" s="104"/>
    </row>
    <row r="30" spans="2:24">
      <c r="B30" s="111"/>
      <c r="C30" s="111"/>
      <c r="D30" s="111"/>
      <c r="E30" s="111"/>
      <c r="F30" s="111"/>
      <c r="G30" s="111"/>
      <c r="H30" s="111"/>
      <c r="J30" s="105" t="s">
        <v>147</v>
      </c>
      <c r="K30" s="113"/>
      <c r="L30" s="158">
        <v>2053</v>
      </c>
      <c r="M30" s="158">
        <v>1957</v>
      </c>
      <c r="N30" s="98">
        <f t="shared" si="0"/>
        <v>4.905467552376086E-2</v>
      </c>
      <c r="O30" s="117">
        <f>L30/$L$42</f>
        <v>9.7771216306314884E-2</v>
      </c>
      <c r="P30" s="117">
        <f>M30/$M$42</f>
        <v>0.10864978902953587</v>
      </c>
      <c r="R30" s="105" t="str">
        <f>R26&amp;" Suma"</f>
        <v>SUPERSPORT Suma</v>
      </c>
      <c r="S30" s="106"/>
      <c r="T30" s="158">
        <v>697</v>
      </c>
      <c r="U30" s="158">
        <v>562</v>
      </c>
      <c r="V30" s="98">
        <f t="shared" si="1"/>
        <v>0.24021352313167266</v>
      </c>
      <c r="W30" s="117">
        <f>T30/$L$42</f>
        <v>3.3193637489284694E-2</v>
      </c>
      <c r="X30" s="117">
        <f>U30/$M$42</f>
        <v>3.1201421274705751E-2</v>
      </c>
    </row>
    <row r="31" spans="2:24" ht="15">
      <c r="B31" s="111"/>
      <c r="C31" s="111"/>
      <c r="D31" s="111"/>
      <c r="E31" s="111"/>
      <c r="F31" s="111"/>
      <c r="G31" s="111"/>
      <c r="H31" s="111"/>
      <c r="J31" s="109" t="s">
        <v>148</v>
      </c>
      <c r="K31" s="82" t="s">
        <v>2</v>
      </c>
      <c r="L31" s="169">
        <v>1260</v>
      </c>
      <c r="M31" s="171">
        <v>1231</v>
      </c>
      <c r="N31" s="83">
        <f>IFERROR(L31/M31-1,"")</f>
        <v>2.3558082859463925E-2</v>
      </c>
      <c r="O31" s="95"/>
      <c r="P31" s="95"/>
      <c r="R31" s="102" t="s">
        <v>69</v>
      </c>
      <c r="S31" s="173" t="s">
        <v>2</v>
      </c>
      <c r="T31" s="169">
        <v>368</v>
      </c>
      <c r="U31" s="171">
        <v>277</v>
      </c>
      <c r="V31" s="83">
        <f t="shared" si="1"/>
        <v>0.32851985559566788</v>
      </c>
      <c r="W31" s="95"/>
      <c r="X31" s="95"/>
    </row>
    <row r="32" spans="2:24" ht="15">
      <c r="B32" s="111"/>
      <c r="C32" s="111"/>
      <c r="D32" s="111"/>
      <c r="E32" s="111"/>
      <c r="F32" s="111"/>
      <c r="G32" s="111"/>
      <c r="H32" s="111"/>
      <c r="J32" s="103"/>
      <c r="K32" s="84" t="s">
        <v>36</v>
      </c>
      <c r="L32" s="170">
        <v>614</v>
      </c>
      <c r="M32" s="172">
        <v>493</v>
      </c>
      <c r="N32" s="85">
        <f>IFERROR(L32/M32-1,"")</f>
        <v>0.24543610547667338</v>
      </c>
      <c r="O32" s="96"/>
      <c r="P32" s="96"/>
      <c r="Q32" s="175"/>
      <c r="R32" s="103"/>
      <c r="S32" s="174" t="s">
        <v>35</v>
      </c>
      <c r="T32" s="170">
        <v>315</v>
      </c>
      <c r="U32" s="172">
        <v>332</v>
      </c>
      <c r="V32" s="85">
        <f t="shared" si="1"/>
        <v>-5.1204819277108404E-2</v>
      </c>
      <c r="W32" s="96"/>
      <c r="X32" s="96"/>
    </row>
    <row r="33" spans="2:24" ht="15">
      <c r="B33" s="111"/>
      <c r="C33" s="111"/>
      <c r="D33" s="111"/>
      <c r="E33" s="111"/>
      <c r="F33" s="111"/>
      <c r="G33" s="111"/>
      <c r="H33" s="111"/>
      <c r="J33" s="103"/>
      <c r="K33" s="84" t="s">
        <v>152</v>
      </c>
      <c r="L33" s="170">
        <v>483</v>
      </c>
      <c r="M33" s="172">
        <v>402</v>
      </c>
      <c r="N33" s="85">
        <f>IFERROR(L33/M33-1,"")</f>
        <v>0.20149253731343286</v>
      </c>
      <c r="O33" s="96"/>
      <c r="P33" s="96"/>
      <c r="R33" s="103"/>
      <c r="S33" s="174" t="s">
        <v>36</v>
      </c>
      <c r="T33" s="170">
        <v>197</v>
      </c>
      <c r="U33" s="172">
        <v>42</v>
      </c>
      <c r="V33" s="85">
        <f t="shared" si="1"/>
        <v>3.6904761904761907</v>
      </c>
      <c r="W33" s="96"/>
      <c r="X33" s="96"/>
    </row>
    <row r="34" spans="2:24">
      <c r="B34" s="111"/>
      <c r="C34" s="111"/>
      <c r="D34" s="111"/>
      <c r="E34" s="111"/>
      <c r="F34" s="111"/>
      <c r="G34" s="111"/>
      <c r="H34" s="111"/>
      <c r="J34" s="102"/>
      <c r="K34" s="102" t="s">
        <v>45</v>
      </c>
      <c r="L34" s="177">
        <f>+L35-SUM(L31:L33)</f>
        <v>1074</v>
      </c>
      <c r="M34" s="177">
        <f>+M35-SUM(M31:M33)</f>
        <v>1051</v>
      </c>
      <c r="N34" s="86">
        <f t="shared" ref="N34:N35" si="2">IFERROR(L34/M34-1,"")</f>
        <v>2.1883920076118057E-2</v>
      </c>
      <c r="O34" s="104"/>
      <c r="P34" s="104"/>
      <c r="R34" s="102"/>
      <c r="S34" s="102" t="s">
        <v>45</v>
      </c>
      <c r="T34" s="177">
        <f>+T35-SUM(T31:T33)</f>
        <v>645</v>
      </c>
      <c r="U34" s="177">
        <f>+U35-SUM(U31:U33)</f>
        <v>417</v>
      </c>
      <c r="V34" s="86">
        <f t="shared" si="1"/>
        <v>0.54676258992805749</v>
      </c>
      <c r="W34" s="104"/>
      <c r="X34" s="104"/>
    </row>
    <row r="35" spans="2:24">
      <c r="B35" s="111"/>
      <c r="C35" s="111"/>
      <c r="D35" s="111"/>
      <c r="E35" s="111"/>
      <c r="F35" s="111"/>
      <c r="G35" s="111"/>
      <c r="H35" s="111"/>
      <c r="J35" s="105" t="s">
        <v>149</v>
      </c>
      <c r="K35" s="113"/>
      <c r="L35" s="158">
        <v>3431</v>
      </c>
      <c r="M35" s="158">
        <v>3177</v>
      </c>
      <c r="N35" s="98">
        <f t="shared" si="2"/>
        <v>7.9949638023292469E-2</v>
      </c>
      <c r="O35" s="117">
        <f>L35/$L$42</f>
        <v>0.16339651395370988</v>
      </c>
      <c r="P35" s="117">
        <f>M35/$M$42</f>
        <v>0.17638241172551633</v>
      </c>
      <c r="R35" s="105" t="str">
        <f>R31&amp;" Suma"</f>
        <v>TOURIST Suma</v>
      </c>
      <c r="S35" s="106"/>
      <c r="T35" s="158">
        <v>1525</v>
      </c>
      <c r="U35" s="158">
        <v>1068</v>
      </c>
      <c r="V35" s="98">
        <f t="shared" si="1"/>
        <v>0.42790262172284654</v>
      </c>
      <c r="W35" s="117">
        <f>T35/$L$42</f>
        <v>7.2625964377559762E-2</v>
      </c>
      <c r="X35" s="117">
        <f>U35/$M$42</f>
        <v>5.9293804130579615E-2</v>
      </c>
    </row>
    <row r="36" spans="2:24" ht="15">
      <c r="B36" s="111"/>
      <c r="C36" s="111"/>
      <c r="D36" s="111"/>
      <c r="E36" s="111"/>
      <c r="F36" s="111"/>
      <c r="G36" s="111"/>
      <c r="H36" s="111"/>
      <c r="J36" s="109" t="s">
        <v>81</v>
      </c>
      <c r="K36" s="82" t="s">
        <v>151</v>
      </c>
      <c r="L36" s="169">
        <v>103</v>
      </c>
      <c r="M36" s="171">
        <v>36</v>
      </c>
      <c r="N36" s="83">
        <f t="shared" ref="N36:N39" si="3">IFERROR(L36/M36-1,"")</f>
        <v>1.8611111111111112</v>
      </c>
      <c r="O36" s="95"/>
      <c r="P36" s="95"/>
      <c r="R36" s="102" t="s">
        <v>62</v>
      </c>
      <c r="S36" s="173" t="s">
        <v>2</v>
      </c>
      <c r="T36" s="169">
        <v>1121</v>
      </c>
      <c r="U36" s="171">
        <v>1167</v>
      </c>
      <c r="V36" s="83">
        <f t="shared" si="1"/>
        <v>-3.94173093401885E-2</v>
      </c>
      <c r="W36" s="95"/>
      <c r="X36" s="95"/>
    </row>
    <row r="37" spans="2:24" ht="12.75" customHeight="1">
      <c r="B37" s="111"/>
      <c r="C37" s="111"/>
      <c r="D37" s="111"/>
      <c r="E37" s="111"/>
      <c r="F37" s="111"/>
      <c r="G37" s="111"/>
      <c r="H37" s="111"/>
      <c r="J37" s="103"/>
      <c r="K37" s="84" t="s">
        <v>150</v>
      </c>
      <c r="L37" s="170">
        <v>67</v>
      </c>
      <c r="M37" s="172">
        <v>40</v>
      </c>
      <c r="N37" s="85">
        <f t="shared" si="3"/>
        <v>0.67500000000000004</v>
      </c>
      <c r="O37" s="96"/>
      <c r="P37" s="96"/>
      <c r="R37" s="103"/>
      <c r="S37" s="174" t="s">
        <v>36</v>
      </c>
      <c r="T37" s="170">
        <v>547</v>
      </c>
      <c r="U37" s="172">
        <v>689</v>
      </c>
      <c r="V37" s="85">
        <f t="shared" si="1"/>
        <v>-0.20609579100145137</v>
      </c>
      <c r="W37" s="96"/>
      <c r="X37" s="96"/>
    </row>
    <row r="38" spans="2:24" ht="12.75" customHeight="1">
      <c r="B38" s="111"/>
      <c r="C38" s="111"/>
      <c r="D38" s="111"/>
      <c r="E38" s="111"/>
      <c r="F38" s="111"/>
      <c r="G38" s="111"/>
      <c r="H38" s="111"/>
      <c r="J38" s="103"/>
      <c r="K38" s="84" t="s">
        <v>100</v>
      </c>
      <c r="L38" s="170">
        <v>64</v>
      </c>
      <c r="M38" s="172">
        <v>10</v>
      </c>
      <c r="N38" s="85">
        <f t="shared" si="3"/>
        <v>5.4</v>
      </c>
      <c r="O38" s="96"/>
      <c r="P38" s="96"/>
      <c r="R38" s="103"/>
      <c r="S38" s="174" t="s">
        <v>35</v>
      </c>
      <c r="T38" s="170">
        <v>381</v>
      </c>
      <c r="U38" s="172">
        <v>267</v>
      </c>
      <c r="V38" s="85">
        <f t="shared" si="1"/>
        <v>0.42696629213483139</v>
      </c>
      <c r="W38" s="96"/>
      <c r="X38" s="96"/>
    </row>
    <row r="39" spans="2:24" ht="12.75" customHeight="1">
      <c r="B39" s="111"/>
      <c r="C39" s="111"/>
      <c r="D39" s="111"/>
      <c r="E39" s="111"/>
      <c r="F39" s="111"/>
      <c r="G39" s="111"/>
      <c r="H39" s="111"/>
      <c r="J39" s="102"/>
      <c r="K39" s="102" t="s">
        <v>45</v>
      </c>
      <c r="L39" s="177">
        <f>+L40-SUM(L36:L38)</f>
        <v>311</v>
      </c>
      <c r="M39" s="177">
        <f>+M40-SUM(M36:M38)</f>
        <v>127</v>
      </c>
      <c r="N39" s="86">
        <f t="shared" si="3"/>
        <v>1.4488188976377954</v>
      </c>
      <c r="O39" s="104"/>
      <c r="P39" s="104"/>
      <c r="R39" s="102"/>
      <c r="S39" s="107" t="s">
        <v>45</v>
      </c>
      <c r="T39" s="177">
        <f>+T40-SUM(T36:T38)</f>
        <v>1952</v>
      </c>
      <c r="U39" s="177">
        <f>+U40-SUM(U36:U38)</f>
        <v>1875</v>
      </c>
      <c r="V39" s="86">
        <f t="shared" si="1"/>
        <v>4.1066666666666585E-2</v>
      </c>
      <c r="W39" s="104"/>
      <c r="X39" s="104"/>
    </row>
    <row r="40" spans="2:24" ht="12.75" customHeight="1">
      <c r="B40" s="111"/>
      <c r="C40" s="111"/>
      <c r="D40" s="111"/>
      <c r="E40" s="111"/>
      <c r="F40" s="111"/>
      <c r="G40" s="111"/>
      <c r="H40" s="111"/>
      <c r="J40" s="105" t="s">
        <v>81</v>
      </c>
      <c r="K40" s="114"/>
      <c r="L40" s="158">
        <v>545</v>
      </c>
      <c r="M40" s="158">
        <v>213</v>
      </c>
      <c r="N40" s="98">
        <f t="shared" si="0"/>
        <v>1.5586854460093895</v>
      </c>
      <c r="O40" s="117">
        <f>L40/$L$42</f>
        <v>2.5954852843127919E-2</v>
      </c>
      <c r="P40" s="117">
        <f>M40/$M$42</f>
        <v>1.1825449700199867E-2</v>
      </c>
      <c r="R40" s="105" t="str">
        <f>R36&amp;" Suma"</f>
        <v>ON/OFF Suma</v>
      </c>
      <c r="S40" s="108"/>
      <c r="T40" s="158">
        <v>4001</v>
      </c>
      <c r="U40" s="158">
        <v>3998</v>
      </c>
      <c r="V40" s="98">
        <f t="shared" si="1"/>
        <v>7.5037518759368815E-4</v>
      </c>
      <c r="W40" s="117">
        <f>T40/$L$42</f>
        <v>0.1905419563767978</v>
      </c>
      <c r="X40" s="117">
        <f>U40/$M$42</f>
        <v>0.22196313568731957</v>
      </c>
    </row>
    <row r="41" spans="2:24" ht="15">
      <c r="B41" s="111"/>
      <c r="C41" s="111"/>
      <c r="D41" s="111"/>
      <c r="E41" s="111"/>
      <c r="F41" s="111"/>
      <c r="G41" s="111"/>
      <c r="H41" s="111"/>
      <c r="J41" s="105" t="s">
        <v>82</v>
      </c>
      <c r="K41" s="114"/>
      <c r="L41" s="158">
        <v>0</v>
      </c>
      <c r="M41" s="158">
        <v>0</v>
      </c>
      <c r="N41" s="98" t="str">
        <f t="shared" si="0"/>
        <v/>
      </c>
      <c r="O41" s="117">
        <f>L41/$L$42</f>
        <v>0</v>
      </c>
      <c r="P41" s="117">
        <f>M41/$M$42</f>
        <v>0</v>
      </c>
      <c r="R41" s="109" t="s">
        <v>63</v>
      </c>
      <c r="S41" s="173" t="s">
        <v>41</v>
      </c>
      <c r="T41" s="169">
        <v>331</v>
      </c>
      <c r="U41" s="171">
        <v>240</v>
      </c>
      <c r="V41" s="83">
        <f t="shared" si="1"/>
        <v>0.37916666666666665</v>
      </c>
      <c r="W41" s="95"/>
      <c r="X41" s="95"/>
    </row>
    <row r="42" spans="2:24" ht="15">
      <c r="B42" s="111"/>
      <c r="C42" s="111"/>
      <c r="D42" s="111"/>
      <c r="E42" s="111"/>
      <c r="F42" s="111"/>
      <c r="G42" s="111"/>
      <c r="H42" s="111"/>
      <c r="J42" s="201" t="s">
        <v>18</v>
      </c>
      <c r="K42" s="202"/>
      <c r="L42" s="161">
        <f>SUM(L10,L15,L25,L20,L30,L35,L40,L41)</f>
        <v>20998</v>
      </c>
      <c r="M42" s="161">
        <f>SUM(M10,M15,M25,M20,M30,M35,M40,M41)</f>
        <v>18012</v>
      </c>
      <c r="N42" s="100">
        <f t="shared" si="0"/>
        <v>0.16577836997557194</v>
      </c>
      <c r="O42" s="99">
        <f>SUM(O10,O15,O20,O25,O30,O40,O41)</f>
        <v>0.83660348604629009</v>
      </c>
      <c r="P42" s="99">
        <f>SUM(P10,P15,P20,P25,P30,P40,P41)</f>
        <v>0.82361758827448373</v>
      </c>
      <c r="R42" s="103"/>
      <c r="S42" s="174" t="s">
        <v>36</v>
      </c>
      <c r="T42" s="170">
        <v>292</v>
      </c>
      <c r="U42" s="172">
        <v>175</v>
      </c>
      <c r="V42" s="85">
        <f t="shared" si="1"/>
        <v>0.66857142857142859</v>
      </c>
      <c r="W42" s="96"/>
      <c r="X42" s="96"/>
    </row>
    <row r="43" spans="2:24" ht="15">
      <c r="B43" s="111"/>
      <c r="C43" s="111"/>
      <c r="D43" s="111"/>
      <c r="E43" s="111"/>
      <c r="F43" s="111"/>
      <c r="G43" s="111"/>
      <c r="H43" s="111"/>
      <c r="R43" s="103"/>
      <c r="S43" s="174" t="s">
        <v>78</v>
      </c>
      <c r="T43" s="170">
        <v>180</v>
      </c>
      <c r="U43" s="172">
        <v>206</v>
      </c>
      <c r="V43" s="85">
        <f t="shared" si="1"/>
        <v>-0.12621359223300976</v>
      </c>
      <c r="W43" s="96"/>
      <c r="X43" s="96"/>
    </row>
    <row r="44" spans="2:24">
      <c r="B44" s="111"/>
      <c r="C44" s="111"/>
      <c r="D44" s="111"/>
      <c r="E44" s="111"/>
      <c r="F44" s="111"/>
      <c r="G44" s="111"/>
      <c r="H44" s="111"/>
      <c r="R44" s="102"/>
      <c r="S44" s="107" t="s">
        <v>45</v>
      </c>
      <c r="T44" s="177">
        <f>+T45-SUM(T41:T43)</f>
        <v>301</v>
      </c>
      <c r="U44" s="177">
        <f>+U45-SUM(U41:U43)</f>
        <v>294</v>
      </c>
      <c r="V44" s="86">
        <f t="shared" si="1"/>
        <v>2.3809523809523725E-2</v>
      </c>
      <c r="W44" s="104"/>
      <c r="X44" s="104"/>
    </row>
    <row r="45" spans="2:24">
      <c r="B45" s="111"/>
      <c r="C45" s="111"/>
      <c r="D45" s="111"/>
      <c r="E45" s="111"/>
      <c r="F45" s="111"/>
      <c r="G45" s="111"/>
      <c r="H45" s="111"/>
      <c r="R45" s="105" t="str">
        <f>R41&amp;" Suma"</f>
        <v>OFF ROAD Suma</v>
      </c>
      <c r="S45" s="108"/>
      <c r="T45" s="158">
        <v>1104</v>
      </c>
      <c r="U45" s="158">
        <v>915</v>
      </c>
      <c r="V45" s="98">
        <f t="shared" si="1"/>
        <v>0.20655737704918042</v>
      </c>
      <c r="W45" s="117">
        <f>T45/$L$42</f>
        <v>5.2576435851033429E-2</v>
      </c>
      <c r="X45" s="117">
        <f>U45/$M$42</f>
        <v>5.0799467021985345E-2</v>
      </c>
    </row>
    <row r="46" spans="2:24">
      <c r="B46" s="111"/>
      <c r="C46" s="111"/>
      <c r="D46" s="111"/>
      <c r="E46" s="111"/>
      <c r="F46" s="111"/>
      <c r="G46" s="111"/>
      <c r="H46" s="111"/>
      <c r="R46" s="105" t="s">
        <v>77</v>
      </c>
      <c r="S46" s="114"/>
      <c r="T46" s="158">
        <v>113</v>
      </c>
      <c r="U46" s="158">
        <v>123</v>
      </c>
      <c r="V46" s="98">
        <f t="shared" si="1"/>
        <v>-8.1300813008130079E-2</v>
      </c>
      <c r="W46" s="117">
        <f>T46/$L$42</f>
        <v>5.3814649014191831E-3</v>
      </c>
      <c r="X46" s="117">
        <f>U46/$M$42</f>
        <v>6.8287808127914726E-3</v>
      </c>
    </row>
    <row r="47" spans="2:24">
      <c r="B47" s="111"/>
      <c r="C47" s="111"/>
      <c r="D47" s="111"/>
      <c r="E47" s="111"/>
      <c r="F47" s="111"/>
      <c r="G47" s="111"/>
      <c r="H47" s="111"/>
      <c r="R47" s="201" t="s">
        <v>18</v>
      </c>
      <c r="S47" s="202"/>
      <c r="T47" s="158">
        <f>SUM(T10,T15,T20,T25,T30,T35,T40,T45,T46)</f>
        <v>20998</v>
      </c>
      <c r="U47" s="158">
        <f>SUM(U10,U15,U20,U25,U30,U35,U40,U45,U46)</f>
        <v>18012</v>
      </c>
      <c r="V47" s="98">
        <f t="shared" si="1"/>
        <v>0.16577836997557194</v>
      </c>
      <c r="W47" s="97">
        <f>SUM(W10,W15,W20,W25,W30,W35,W40,W45,W46)</f>
        <v>1</v>
      </c>
      <c r="X47" s="97">
        <f>SUM(X10,X15,X20,X25,X30,X35,X40,X45,X46)</f>
        <v>0.99999999999999989</v>
      </c>
    </row>
    <row r="48" spans="2:24">
      <c r="B48" s="111"/>
      <c r="C48" s="111"/>
      <c r="D48" s="111"/>
      <c r="E48" s="111"/>
      <c r="F48" s="111"/>
      <c r="G48" s="111"/>
      <c r="H48" s="111"/>
    </row>
    <row r="49" spans="2:16">
      <c r="B49" s="111"/>
      <c r="C49" s="111"/>
      <c r="D49" s="111"/>
      <c r="E49" s="111"/>
      <c r="F49" s="111"/>
      <c r="G49" s="111"/>
      <c r="H49" s="111"/>
    </row>
    <row r="50" spans="2:16">
      <c r="B50" s="111"/>
      <c r="C50" s="111"/>
      <c r="D50" s="111"/>
      <c r="E50" s="111"/>
      <c r="F50" s="111"/>
      <c r="G50" s="111"/>
      <c r="H50" s="111"/>
    </row>
    <row r="51" spans="2:16">
      <c r="B51" s="111"/>
      <c r="C51" s="111"/>
      <c r="D51" s="111"/>
      <c r="E51" s="111"/>
      <c r="F51" s="111"/>
      <c r="G51" s="111"/>
      <c r="H51" s="111"/>
    </row>
    <row r="52" spans="2:16">
      <c r="B52" s="111"/>
      <c r="C52" s="111"/>
      <c r="D52" s="111"/>
      <c r="E52" s="111"/>
      <c r="F52" s="111"/>
      <c r="G52" s="111"/>
      <c r="H52" s="111"/>
    </row>
    <row r="53" spans="2:16">
      <c r="B53" s="111"/>
      <c r="C53" s="111"/>
      <c r="D53" s="111"/>
      <c r="E53" s="111"/>
      <c r="F53" s="111"/>
      <c r="G53" s="111"/>
      <c r="H53" s="111"/>
    </row>
    <row r="54" spans="2:16">
      <c r="B54" s="111"/>
      <c r="C54" s="111"/>
      <c r="D54" s="111"/>
      <c r="E54" s="111"/>
      <c r="F54" s="111"/>
      <c r="G54" s="111"/>
      <c r="H54" s="111"/>
    </row>
    <row r="55" spans="2:16">
      <c r="B55" s="111"/>
      <c r="C55" s="111"/>
      <c r="D55" s="111"/>
      <c r="E55" s="111"/>
      <c r="F55" s="111"/>
      <c r="G55" s="111"/>
      <c r="H55" s="111"/>
    </row>
    <row r="56" spans="2:16">
      <c r="B56" s="111"/>
      <c r="C56" s="111"/>
      <c r="D56" s="111"/>
      <c r="E56" s="111"/>
      <c r="F56" s="111"/>
      <c r="G56" s="111"/>
      <c r="H56" s="111"/>
    </row>
    <row r="57" spans="2:16">
      <c r="B57" s="111"/>
      <c r="C57" s="111"/>
      <c r="D57" s="111"/>
      <c r="E57" s="111"/>
      <c r="F57" s="111"/>
      <c r="G57" s="111"/>
      <c r="H57" s="111"/>
    </row>
    <row r="58" spans="2:16" ht="12.75" customHeight="1">
      <c r="B58" s="111"/>
      <c r="C58" s="111"/>
      <c r="D58" s="111"/>
      <c r="E58" s="111"/>
      <c r="F58" s="111"/>
      <c r="G58" s="111"/>
      <c r="H58" s="111"/>
    </row>
    <row r="59" spans="2:16">
      <c r="B59" s="111"/>
      <c r="C59" s="111"/>
      <c r="D59" s="111"/>
      <c r="E59" s="111"/>
      <c r="F59" s="111"/>
      <c r="G59" s="111"/>
      <c r="H59" s="111"/>
    </row>
    <row r="60" spans="2:16">
      <c r="B60" s="111"/>
      <c r="C60" s="111"/>
      <c r="D60" s="111"/>
      <c r="E60" s="111"/>
      <c r="F60" s="111"/>
      <c r="G60" s="111"/>
      <c r="H60" s="111"/>
    </row>
    <row r="61" spans="2:16">
      <c r="B61" s="111"/>
      <c r="C61" s="111"/>
      <c r="D61" s="111"/>
      <c r="E61" s="111"/>
      <c r="F61" s="111"/>
      <c r="G61" s="111"/>
      <c r="H61" s="111"/>
    </row>
    <row r="62" spans="2:16">
      <c r="B62" s="111"/>
      <c r="C62" s="111"/>
      <c r="D62" s="111"/>
      <c r="E62" s="111"/>
      <c r="F62" s="111"/>
      <c r="G62" s="111"/>
      <c r="H62" s="111"/>
    </row>
    <row r="63" spans="2:16">
      <c r="B63" s="111"/>
      <c r="C63" s="111"/>
      <c r="D63" s="111"/>
      <c r="E63" s="111"/>
      <c r="F63" s="111"/>
      <c r="G63" s="111"/>
      <c r="H63" s="111"/>
      <c r="J63"/>
      <c r="K63"/>
      <c r="L63"/>
      <c r="M63"/>
      <c r="N63"/>
      <c r="O63"/>
      <c r="P63"/>
    </row>
    <row r="64" spans="2:16">
      <c r="B64" s="111"/>
      <c r="C64" s="111"/>
      <c r="D64" s="111"/>
      <c r="E64" s="111"/>
      <c r="F64" s="111"/>
      <c r="G64" s="111"/>
      <c r="H64" s="111"/>
      <c r="J64"/>
      <c r="K64"/>
      <c r="L64"/>
      <c r="M64"/>
      <c r="N64"/>
      <c r="O64"/>
      <c r="P64"/>
    </row>
    <row r="65" spans="2:25">
      <c r="B65" s="111"/>
      <c r="C65" s="111"/>
      <c r="D65" s="111"/>
      <c r="E65" s="111"/>
      <c r="F65" s="111"/>
      <c r="G65" s="111"/>
      <c r="H65" s="111"/>
      <c r="J65"/>
      <c r="K65"/>
      <c r="L65"/>
      <c r="M65"/>
      <c r="N65"/>
      <c r="O65"/>
      <c r="P65"/>
      <c r="Y65" s="127" t="s">
        <v>79</v>
      </c>
    </row>
    <row r="66" spans="2:25">
      <c r="B66" s="111"/>
      <c r="C66" s="111"/>
      <c r="D66" s="111"/>
      <c r="E66" s="111"/>
      <c r="F66" s="111"/>
      <c r="G66" s="111"/>
      <c r="H66" s="111"/>
      <c r="J66"/>
      <c r="K66"/>
      <c r="L66"/>
      <c r="M66"/>
      <c r="N66"/>
      <c r="O66"/>
      <c r="P66"/>
    </row>
    <row r="67" spans="2:25">
      <c r="B67" s="111"/>
      <c r="C67" s="111"/>
      <c r="D67" s="111"/>
      <c r="E67" s="111"/>
      <c r="F67" s="111"/>
      <c r="G67" s="111"/>
      <c r="H67" s="111"/>
      <c r="J67"/>
      <c r="K67"/>
      <c r="L67"/>
      <c r="M67"/>
      <c r="N67"/>
      <c r="O67"/>
      <c r="P67"/>
    </row>
    <row r="68" spans="2:25">
      <c r="B68" s="111"/>
      <c r="C68" s="111"/>
      <c r="D68" s="111"/>
      <c r="E68" s="111"/>
      <c r="F68" s="111"/>
      <c r="G68" s="111"/>
      <c r="H68" s="111"/>
      <c r="J68"/>
      <c r="K68"/>
      <c r="L68"/>
      <c r="M68"/>
      <c r="N68"/>
      <c r="O68"/>
      <c r="P68"/>
    </row>
    <row r="69" spans="2:25">
      <c r="B69" s="111"/>
      <c r="C69" s="111"/>
      <c r="D69" s="111"/>
      <c r="E69" s="111"/>
      <c r="F69" s="111"/>
      <c r="G69" s="111"/>
      <c r="H69" s="111"/>
      <c r="J69"/>
      <c r="K69"/>
      <c r="L69"/>
      <c r="M69"/>
      <c r="N69"/>
      <c r="O69"/>
      <c r="P69"/>
    </row>
    <row r="70" spans="2:25">
      <c r="B70" s="111"/>
      <c r="C70" s="111"/>
      <c r="D70" s="111"/>
      <c r="E70" s="111"/>
      <c r="F70" s="111"/>
      <c r="G70" s="111"/>
      <c r="H70" s="111"/>
      <c r="J70"/>
      <c r="K70"/>
      <c r="L70"/>
      <c r="M70"/>
      <c r="N70"/>
      <c r="O70"/>
      <c r="P70"/>
    </row>
    <row r="71" spans="2:25">
      <c r="B71" s="111"/>
      <c r="C71" s="111"/>
      <c r="D71" s="111"/>
      <c r="E71" s="111"/>
      <c r="F71" s="111"/>
      <c r="G71" s="111"/>
      <c r="H71" s="111"/>
      <c r="J71"/>
      <c r="K71"/>
      <c r="L71"/>
      <c r="M71"/>
      <c r="N71"/>
      <c r="O71"/>
      <c r="P71"/>
    </row>
    <row r="72" spans="2:25">
      <c r="B72" s="111"/>
      <c r="C72" s="111"/>
      <c r="D72" s="111"/>
      <c r="E72" s="111"/>
      <c r="F72" s="111"/>
      <c r="G72" s="111"/>
      <c r="H72" s="111"/>
      <c r="J72"/>
      <c r="K72"/>
      <c r="L72"/>
      <c r="M72"/>
      <c r="N72"/>
      <c r="O72"/>
      <c r="P72"/>
    </row>
    <row r="73" spans="2:25">
      <c r="B73" s="111"/>
      <c r="C73" s="111"/>
      <c r="D73" s="111"/>
      <c r="E73" s="111"/>
      <c r="F73" s="111"/>
      <c r="G73" s="111"/>
      <c r="H73" s="111"/>
      <c r="J73"/>
      <c r="K73"/>
      <c r="L73"/>
      <c r="M73"/>
      <c r="N73"/>
      <c r="O73"/>
      <c r="P73"/>
    </row>
    <row r="74" spans="2:25">
      <c r="B74" s="111"/>
      <c r="C74" s="111"/>
      <c r="D74" s="111"/>
      <c r="E74" s="111"/>
      <c r="F74" s="111"/>
      <c r="G74" s="111"/>
      <c r="H74" s="111"/>
      <c r="J74"/>
      <c r="K74"/>
      <c r="L74"/>
      <c r="M74"/>
    </row>
    <row r="75" spans="2:25">
      <c r="B75" s="111"/>
      <c r="C75" s="111"/>
      <c r="D75" s="111"/>
      <c r="E75" s="111"/>
      <c r="F75" s="111"/>
      <c r="G75" s="111"/>
      <c r="H75" s="111"/>
    </row>
    <row r="76" spans="2:25">
      <c r="B76" s="111"/>
      <c r="C76" s="111"/>
      <c r="D76" s="111"/>
      <c r="E76" s="111"/>
      <c r="F76" s="111"/>
      <c r="G76" s="111"/>
      <c r="H76" s="111"/>
    </row>
    <row r="77" spans="2:25">
      <c r="B77" s="111"/>
      <c r="C77" s="111"/>
      <c r="D77" s="111"/>
      <c r="E77" s="111"/>
      <c r="F77" s="111"/>
      <c r="G77" s="111"/>
      <c r="H77" s="111"/>
    </row>
    <row r="78" spans="2:25">
      <c r="B78" s="111"/>
      <c r="C78" s="111"/>
      <c r="D78" s="111"/>
      <c r="E78" s="111"/>
      <c r="F78" s="111"/>
      <c r="G78" s="111"/>
      <c r="H78" s="111"/>
    </row>
    <row r="79" spans="2:25">
      <c r="B79" s="111"/>
      <c r="C79" s="111"/>
      <c r="D79" s="111"/>
      <c r="E79" s="111"/>
      <c r="F79" s="111"/>
      <c r="G79" s="111"/>
      <c r="H79" s="111"/>
    </row>
    <row r="80" spans="2:25">
      <c r="B80" s="111"/>
      <c r="C80" s="111"/>
      <c r="D80" s="111"/>
      <c r="E80" s="111"/>
      <c r="F80" s="111"/>
      <c r="G80" s="111"/>
      <c r="H80" s="111"/>
    </row>
    <row r="81" spans="2:8">
      <c r="B81" s="111"/>
      <c r="C81" s="111"/>
      <c r="D81" s="111"/>
      <c r="E81" s="111"/>
      <c r="F81" s="111"/>
      <c r="G81" s="111"/>
      <c r="H81" s="111"/>
    </row>
    <row r="82" spans="2:8">
      <c r="B82" s="111"/>
      <c r="C82" s="111"/>
      <c r="D82" s="111"/>
      <c r="E82" s="111"/>
      <c r="F82" s="111"/>
      <c r="G82" s="111"/>
      <c r="H82" s="111"/>
    </row>
    <row r="83" spans="2:8">
      <c r="B83" s="111"/>
      <c r="C83" s="111"/>
      <c r="D83" s="111"/>
      <c r="E83" s="111"/>
      <c r="F83" s="111"/>
      <c r="G83" s="111"/>
      <c r="H83" s="111"/>
    </row>
    <row r="84" spans="2:8">
      <c r="B84" s="111"/>
      <c r="C84" s="111"/>
      <c r="D84" s="111"/>
      <c r="E84" s="111"/>
      <c r="F84" s="111"/>
      <c r="G84" s="111"/>
      <c r="H84" s="111"/>
    </row>
    <row r="85" spans="2:8">
      <c r="B85" s="111"/>
      <c r="C85" s="111"/>
      <c r="D85" s="111"/>
      <c r="E85" s="111"/>
      <c r="F85" s="111"/>
      <c r="G85" s="111"/>
      <c r="H85" s="111"/>
    </row>
    <row r="86" spans="2:8">
      <c r="B86" s="111"/>
      <c r="C86" s="111"/>
      <c r="D86" s="111"/>
      <c r="E86" s="111"/>
      <c r="F86" s="111"/>
      <c r="G86" s="111"/>
      <c r="H86" s="111"/>
    </row>
    <row r="87" spans="2:8">
      <c r="B87" s="111"/>
      <c r="C87" s="111"/>
      <c r="D87" s="111"/>
      <c r="E87" s="111"/>
      <c r="F87" s="111"/>
      <c r="G87" s="111"/>
      <c r="H87" s="111"/>
    </row>
    <row r="88" spans="2:8">
      <c r="B88" s="111"/>
      <c r="C88" s="111"/>
      <c r="D88" s="111"/>
      <c r="E88" s="111"/>
      <c r="F88" s="111"/>
      <c r="G88" s="111"/>
      <c r="H88" s="111"/>
    </row>
    <row r="89" spans="2:8">
      <c r="B89" s="111"/>
      <c r="C89" s="111"/>
      <c r="D89" s="111"/>
      <c r="E89" s="111"/>
      <c r="F89" s="111"/>
      <c r="G89" s="111"/>
      <c r="H89" s="111"/>
    </row>
    <row r="90" spans="2:8">
      <c r="B90" s="111"/>
      <c r="C90" s="111"/>
      <c r="D90" s="111"/>
      <c r="E90" s="111"/>
      <c r="F90" s="111"/>
      <c r="G90" s="111"/>
      <c r="H90" s="111"/>
    </row>
    <row r="91" spans="2:8">
      <c r="B91" s="111"/>
      <c r="C91" s="111"/>
      <c r="D91" s="111"/>
      <c r="E91" s="111"/>
      <c r="F91" s="111"/>
      <c r="G91" s="111"/>
      <c r="H91" s="111"/>
    </row>
    <row r="92" spans="2:8">
      <c r="B92" s="111"/>
      <c r="C92" s="111"/>
      <c r="D92" s="111"/>
      <c r="E92" s="111"/>
      <c r="F92" s="111"/>
      <c r="G92" s="111"/>
      <c r="H92" s="111"/>
    </row>
    <row r="93" spans="2:8">
      <c r="B93" s="111"/>
      <c r="C93" s="111"/>
      <c r="D93" s="111"/>
      <c r="E93" s="111"/>
      <c r="F93" s="111"/>
      <c r="G93" s="111"/>
      <c r="H93" s="111"/>
    </row>
    <row r="94" spans="2:8">
      <c r="B94" s="111"/>
      <c r="C94" s="111"/>
      <c r="D94" s="111"/>
      <c r="E94" s="111"/>
      <c r="F94" s="111"/>
      <c r="G94" s="111"/>
      <c r="H94" s="111"/>
    </row>
    <row r="95" spans="2:8">
      <c r="B95" s="111"/>
      <c r="C95" s="111"/>
      <c r="D95" s="111"/>
      <c r="E95" s="111"/>
      <c r="F95" s="111"/>
      <c r="G95" s="111"/>
      <c r="H95" s="111"/>
    </row>
    <row r="96" spans="2:8">
      <c r="B96" s="111"/>
      <c r="C96" s="111"/>
      <c r="D96" s="111"/>
      <c r="E96" s="111"/>
      <c r="F96" s="111"/>
      <c r="G96" s="111"/>
      <c r="H96" s="111"/>
    </row>
    <row r="97" spans="2:8">
      <c r="B97" s="111"/>
      <c r="C97" s="111"/>
      <c r="D97" s="111"/>
      <c r="E97" s="111"/>
      <c r="F97" s="111"/>
      <c r="G97" s="111"/>
      <c r="H97" s="111"/>
    </row>
    <row r="98" spans="2:8">
      <c r="B98" s="111"/>
      <c r="C98" s="111"/>
      <c r="D98" s="111"/>
      <c r="E98" s="111"/>
      <c r="F98" s="111"/>
      <c r="G98" s="111"/>
      <c r="H98" s="111"/>
    </row>
    <row r="99" spans="2:8">
      <c r="B99" s="111"/>
      <c r="C99" s="111"/>
      <c r="D99" s="111"/>
      <c r="E99" s="111"/>
      <c r="F99" s="111"/>
      <c r="G99" s="111"/>
      <c r="H99" s="111"/>
    </row>
    <row r="100" spans="2:8">
      <c r="B100" s="111"/>
      <c r="C100" s="111"/>
      <c r="D100" s="111"/>
      <c r="E100" s="111"/>
      <c r="F100" s="111"/>
      <c r="G100" s="111"/>
      <c r="H100" s="111"/>
    </row>
    <row r="124" spans="3:3">
      <c r="C124" s="131"/>
    </row>
    <row r="136" spans="3:3">
      <c r="C136" s="131"/>
    </row>
    <row r="139" spans="3:3">
      <c r="C139" s="131"/>
    </row>
    <row r="140" spans="3:3">
      <c r="C140" s="131"/>
    </row>
    <row r="143" spans="3:3">
      <c r="C143" s="131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</mergeCells>
  <conditionalFormatting sqref="H15:H16 N41:N42 N6:N35">
    <cfRule type="cellIs" dxfId="15" priority="48" stopIfTrue="1" operator="lessThan">
      <formula>0</formula>
    </cfRule>
  </conditionalFormatting>
  <conditionalFormatting sqref="V7:V47">
    <cfRule type="cellIs" dxfId="14" priority="44" stopIfTrue="1" operator="lessThan">
      <formula>0</formula>
    </cfRule>
  </conditionalFormatting>
  <conditionalFormatting sqref="N40">
    <cfRule type="cellIs" dxfId="13" priority="12" stopIfTrue="1" operator="lessThan">
      <formula>0</formula>
    </cfRule>
  </conditionalFormatting>
  <conditionalFormatting sqref="V6">
    <cfRule type="cellIs" dxfId="12" priority="6" stopIfTrue="1" operator="lessThan">
      <formula>0</formula>
    </cfRule>
  </conditionalFormatting>
  <conditionalFormatting sqref="H17">
    <cfRule type="cellIs" dxfId="11" priority="4" operator="lessThan">
      <formula>0</formula>
    </cfRule>
  </conditionalFormatting>
  <conditionalFormatting sqref="H5:H14">
    <cfRule type="cellIs" dxfId="10" priority="3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70" zoomScaleNormal="70" workbookViewId="0">
      <selection activeCell="J9" sqref="J9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9" t="s">
        <v>118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f t="shared" ref="N4:N9" si="0">SUM(B4:M4)</f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f t="shared" si="0"/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f>+'R_MC&amp;MP struktura 2022'!B25</f>
        <v>355</v>
      </c>
      <c r="C9" s="5">
        <f>+'R_MC&amp;MP struktura 2022'!C25</f>
        <v>496</v>
      </c>
      <c r="D9" s="5">
        <f>+'R_MC&amp;MP struktura 2022'!D25</f>
        <v>1041</v>
      </c>
      <c r="E9" s="5">
        <f>+'R_MC&amp;MP struktura 2022'!E25</f>
        <v>1207</v>
      </c>
      <c r="F9" s="5">
        <v>1469</v>
      </c>
      <c r="G9" s="5">
        <v>1513</v>
      </c>
      <c r="H9" s="5">
        <v>1390</v>
      </c>
      <c r="I9" s="5">
        <v>1276</v>
      </c>
      <c r="J9" s="5">
        <v>965</v>
      </c>
      <c r="K9" s="5"/>
      <c r="L9" s="5"/>
      <c r="M9" s="5"/>
      <c r="N9" s="5">
        <f t="shared" si="0"/>
        <v>9712</v>
      </c>
      <c r="O9" s="11"/>
    </row>
    <row r="10" spans="1:18">
      <c r="A10" s="31" t="s">
        <v>113</v>
      </c>
      <c r="B10" s="11">
        <f>+B9/B8-1</f>
        <v>0.17940199335548179</v>
      </c>
      <c r="C10" s="11">
        <f>+C9/C8-1</f>
        <v>0.23690773067331672</v>
      </c>
      <c r="D10" s="11">
        <f>+D9/D8-1</f>
        <v>0.15410199556541015</v>
      </c>
      <c r="E10" s="11">
        <f>+E9/E8-1</f>
        <v>5.8771929824561475E-2</v>
      </c>
      <c r="F10" s="11">
        <f t="shared" ref="F10" si="1">+F9/F8-1</f>
        <v>8.2361015785861191E-3</v>
      </c>
      <c r="G10" s="11">
        <f>+G9/G8-1</f>
        <v>-0.10526315789473684</v>
      </c>
      <c r="H10" s="11">
        <f>+H9/H8-1</f>
        <v>-0.1789722386296515</v>
      </c>
      <c r="I10" s="11">
        <f>+I9/I8-1</f>
        <v>-0.13491525423728812</v>
      </c>
      <c r="J10" s="11">
        <f>+J9/J8-1</f>
        <v>-0.12032816773017319</v>
      </c>
      <c r="K10" s="11"/>
      <c r="L10" s="11"/>
      <c r="M10" s="11"/>
      <c r="N10" s="32">
        <f ca="1">+N9/F14-1</f>
        <v>-4.3812149256670319E-2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7" t="s">
        <v>19</v>
      </c>
      <c r="B12" s="189" t="str">
        <f>'R_PTW 2022vs2021'!B9:C9</f>
        <v>WRZESIEŃ</v>
      </c>
      <c r="C12" s="225"/>
      <c r="D12" s="191" t="s">
        <v>5</v>
      </c>
      <c r="E12" s="193" t="str">
        <f>"ROK NARASTAJĄCO
STYCZEŃ-"&amp;B12</f>
        <v>ROK NARASTAJĄCO
STYCZEŃ-WRZESIEŃ</v>
      </c>
      <c r="F12" s="226"/>
      <c r="G12" s="198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8"/>
      <c r="B13" s="60">
        <v>2022</v>
      </c>
      <c r="C13" s="60">
        <v>2021</v>
      </c>
      <c r="D13" s="192"/>
      <c r="E13" s="60">
        <v>2022</v>
      </c>
      <c r="F13" s="60">
        <v>2021</v>
      </c>
      <c r="G13" s="195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f ca="1">OFFSET(A9,,COUNTA(B10:M10),,)</f>
        <v>965</v>
      </c>
      <c r="C14" s="58">
        <f ca="1">OFFSET(A8,,COUNTA(B10:M10),,)</f>
        <v>1097</v>
      </c>
      <c r="D14" s="59">
        <f ca="1">+B14/C14-1</f>
        <v>-0.12032816773017319</v>
      </c>
      <c r="E14" s="58">
        <f>+N9</f>
        <v>9712</v>
      </c>
      <c r="F14" s="57">
        <f ca="1">SUM(OFFSET(B8,,,,COUNTA(B10:M10)))</f>
        <v>10157</v>
      </c>
      <c r="G14" s="59">
        <f ca="1">+E14/F14-1</f>
        <v>-4.3812149256670319E-2</v>
      </c>
      <c r="H14" s="11"/>
      <c r="I14" s="11"/>
      <c r="J14" s="11"/>
      <c r="K14" s="11"/>
      <c r="L14" s="11"/>
      <c r="M14" s="11"/>
      <c r="N14" s="29"/>
    </row>
    <row r="40" spans="1:15">
      <c r="A40" s="209" t="s">
        <v>104</v>
      </c>
      <c r="B40" s="209"/>
      <c r="C40" s="209"/>
      <c r="D40" s="209"/>
      <c r="E40" s="209"/>
      <c r="F40" s="209"/>
      <c r="G40" s="209"/>
    </row>
    <row r="41" spans="1:15">
      <c r="A41" s="8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f>+B45/B6</f>
        <v>0.56629834254143652</v>
      </c>
      <c r="C46" s="11">
        <f t="shared" ref="C46:N46" si="2">+C45/C6</f>
        <v>3.6687422166874222</v>
      </c>
      <c r="D46" s="11">
        <f t="shared" si="2"/>
        <v>2.1879375336564353</v>
      </c>
      <c r="E46" s="11">
        <f t="shared" si="2"/>
        <v>1.1607903913211934</v>
      </c>
      <c r="F46" s="11">
        <f t="shared" si="2"/>
        <v>1.2167156656866862</v>
      </c>
      <c r="G46" s="11">
        <f t="shared" si="2"/>
        <v>1.2251099560175929</v>
      </c>
      <c r="H46" s="11">
        <f t="shared" si="2"/>
        <v>0.91023339317773788</v>
      </c>
      <c r="I46" s="11">
        <f t="shared" si="2"/>
        <v>0.72432432432432436</v>
      </c>
      <c r="J46" s="11">
        <f t="shared" si="2"/>
        <v>0.67081199707388439</v>
      </c>
      <c r="K46" s="11">
        <f t="shared" si="2"/>
        <v>0.3396584440227704</v>
      </c>
      <c r="L46" s="11">
        <f t="shared" si="2"/>
        <v>0.38294314381270905</v>
      </c>
      <c r="M46" s="11">
        <f t="shared" si="2"/>
        <v>0.20090634441087613</v>
      </c>
      <c r="N46" s="11">
        <f t="shared" si="2"/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f>SUM(B47:M47)</f>
        <v>11267</v>
      </c>
    </row>
    <row r="48" spans="1:15" hidden="1">
      <c r="B48" s="11">
        <f>+B47/B9</f>
        <v>0.81126760563380285</v>
      </c>
      <c r="C48" s="11">
        <f t="shared" ref="C48:N48" si="3">+C47/C9</f>
        <v>2.318548387096774</v>
      </c>
      <c r="D48" s="11">
        <f t="shared" si="3"/>
        <v>2.0480307396733908</v>
      </c>
      <c r="E48" s="11">
        <f t="shared" si="3"/>
        <v>1.4449047224523612</v>
      </c>
      <c r="F48" s="11">
        <f t="shared" si="3"/>
        <v>0.775357385976855</v>
      </c>
      <c r="G48" s="11">
        <f t="shared" si="3"/>
        <v>1.0971579643093192</v>
      </c>
      <c r="H48" s="11">
        <f t="shared" si="3"/>
        <v>0.95827338129496398</v>
      </c>
      <c r="I48" s="11">
        <f t="shared" si="3"/>
        <v>0.62460815047021945</v>
      </c>
      <c r="J48" s="11">
        <f t="shared" si="3"/>
        <v>0.54196891191709839</v>
      </c>
      <c r="K48" s="11" t="e">
        <f t="shared" si="3"/>
        <v>#DIV/0!</v>
      </c>
      <c r="L48" s="11" t="e">
        <f t="shared" si="3"/>
        <v>#DIV/0!</v>
      </c>
      <c r="M48" s="11" t="e">
        <f t="shared" si="3"/>
        <v>#DIV/0!</v>
      </c>
      <c r="N48" s="11">
        <f t="shared" si="3"/>
        <v>1.1601112026359144</v>
      </c>
      <c r="O48" s="38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D15" sqref="D15:H17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7"/>
      <c r="C1" s="227"/>
      <c r="D1" s="227"/>
      <c r="E1" s="227"/>
      <c r="F1" s="227"/>
      <c r="G1" s="227"/>
      <c r="H1" s="227"/>
      <c r="I1" s="76"/>
      <c r="J1" s="76"/>
      <c r="K1" s="76"/>
      <c r="L1" s="76"/>
    </row>
    <row r="2" spans="2:12" ht="14.25">
      <c r="B2" s="216" t="s">
        <v>119</v>
      </c>
      <c r="C2" s="216"/>
      <c r="D2" s="216"/>
      <c r="E2" s="216"/>
      <c r="F2" s="216"/>
      <c r="G2" s="216"/>
      <c r="H2" s="216"/>
      <c r="I2" s="228"/>
      <c r="J2" s="228"/>
      <c r="K2" s="228"/>
      <c r="L2" s="228"/>
    </row>
    <row r="3" spans="2:12" ht="24" customHeight="1">
      <c r="B3" s="217" t="s">
        <v>64</v>
      </c>
      <c r="C3" s="219" t="s">
        <v>67</v>
      </c>
      <c r="D3" s="221" t="str">
        <f>'R_MC 2022 rankingi'!D3:H3</f>
        <v>Styczeń-Wrzesień</v>
      </c>
      <c r="E3" s="222"/>
      <c r="F3" s="222"/>
      <c r="G3" s="222"/>
      <c r="H3" s="223"/>
      <c r="I3" s="78"/>
      <c r="J3" s="79"/>
      <c r="K3" s="79"/>
      <c r="L3" s="79"/>
    </row>
    <row r="4" spans="2:12">
      <c r="B4" s="224"/>
      <c r="C4" s="230"/>
      <c r="D4" s="93">
        <v>2022</v>
      </c>
      <c r="E4" s="94" t="s">
        <v>65</v>
      </c>
      <c r="F4" s="93">
        <v>2021</v>
      </c>
      <c r="G4" s="94" t="s">
        <v>65</v>
      </c>
      <c r="H4" s="125" t="s">
        <v>66</v>
      </c>
      <c r="J4" s="80"/>
      <c r="K4" s="80"/>
      <c r="L4" s="80"/>
    </row>
    <row r="5" spans="2:12">
      <c r="B5" s="141">
        <v>1</v>
      </c>
      <c r="C5" s="142" t="s">
        <v>37</v>
      </c>
      <c r="D5" s="148">
        <v>2283</v>
      </c>
      <c r="E5" s="118">
        <v>0.23507001647446457</v>
      </c>
      <c r="F5" s="148">
        <v>1544</v>
      </c>
      <c r="G5" s="182">
        <v>0.15201338978044698</v>
      </c>
      <c r="H5" s="133">
        <v>0.47862694300518127</v>
      </c>
      <c r="J5" s="80"/>
      <c r="K5" s="80"/>
      <c r="L5" s="80"/>
    </row>
    <row r="6" spans="2:12">
      <c r="B6" s="143">
        <v>2</v>
      </c>
      <c r="C6" s="144" t="s">
        <v>57</v>
      </c>
      <c r="D6" s="149">
        <v>1385</v>
      </c>
      <c r="E6" s="119">
        <v>0.14260708401976935</v>
      </c>
      <c r="F6" s="149">
        <v>1927</v>
      </c>
      <c r="G6" s="120">
        <v>0.18972137442158118</v>
      </c>
      <c r="H6" s="134">
        <v>-0.28126621691748832</v>
      </c>
      <c r="J6" s="80"/>
      <c r="K6" s="80"/>
      <c r="L6" s="80"/>
    </row>
    <row r="7" spans="2:12">
      <c r="B7" s="143">
        <v>3</v>
      </c>
      <c r="C7" s="144" t="s">
        <v>80</v>
      </c>
      <c r="D7" s="149">
        <v>976</v>
      </c>
      <c r="E7" s="119">
        <v>0.10049423393739704</v>
      </c>
      <c r="F7" s="149">
        <v>918</v>
      </c>
      <c r="G7" s="120">
        <v>9.038101801713104E-2</v>
      </c>
      <c r="H7" s="134">
        <v>6.3180827886710311E-2</v>
      </c>
      <c r="J7" s="80"/>
      <c r="K7" s="80"/>
      <c r="L7" s="80"/>
    </row>
    <row r="8" spans="2:12">
      <c r="B8" s="143">
        <v>4</v>
      </c>
      <c r="C8" s="144" t="s">
        <v>84</v>
      </c>
      <c r="D8" s="149">
        <v>538</v>
      </c>
      <c r="E8" s="119">
        <v>5.5395387149917624E-2</v>
      </c>
      <c r="F8" s="149">
        <v>543</v>
      </c>
      <c r="G8" s="120">
        <v>5.3460667519936993E-2</v>
      </c>
      <c r="H8" s="134">
        <v>-9.2081031307550409E-3</v>
      </c>
      <c r="J8" s="80"/>
      <c r="K8" s="80"/>
      <c r="L8" s="80"/>
    </row>
    <row r="9" spans="2:12">
      <c r="B9" s="150">
        <v>5</v>
      </c>
      <c r="C9" s="151" t="s">
        <v>96</v>
      </c>
      <c r="D9" s="152">
        <v>464</v>
      </c>
      <c r="E9" s="153">
        <v>4.7775947281713346E-2</v>
      </c>
      <c r="F9" s="152">
        <v>471</v>
      </c>
      <c r="G9" s="154">
        <v>4.6371960224475733E-2</v>
      </c>
      <c r="H9" s="155">
        <v>-1.4861995753715496E-2</v>
      </c>
      <c r="J9" s="80"/>
      <c r="K9" s="80"/>
      <c r="L9" s="80"/>
    </row>
    <row r="10" spans="2:12">
      <c r="B10" s="141">
        <v>6</v>
      </c>
      <c r="C10" s="142" t="s">
        <v>156</v>
      </c>
      <c r="D10" s="148">
        <v>408</v>
      </c>
      <c r="E10" s="118">
        <v>4.2009884678747944E-2</v>
      </c>
      <c r="F10" s="148">
        <v>582</v>
      </c>
      <c r="G10" s="182">
        <v>5.730038397164517E-2</v>
      </c>
      <c r="H10" s="133">
        <v>-0.2989690721649485</v>
      </c>
      <c r="J10" s="80"/>
      <c r="K10" s="80"/>
      <c r="L10" s="80"/>
    </row>
    <row r="11" spans="2:12">
      <c r="B11" s="143">
        <v>7</v>
      </c>
      <c r="C11" s="144" t="s">
        <v>100</v>
      </c>
      <c r="D11" s="149">
        <v>356</v>
      </c>
      <c r="E11" s="119">
        <v>3.6655683690280064E-2</v>
      </c>
      <c r="F11" s="149">
        <v>438</v>
      </c>
      <c r="G11" s="120">
        <v>4.3122969380722652E-2</v>
      </c>
      <c r="H11" s="134">
        <v>-0.18721461187214616</v>
      </c>
      <c r="J11" s="80"/>
      <c r="K11" s="80"/>
      <c r="L11" s="80"/>
    </row>
    <row r="12" spans="2:12">
      <c r="B12" s="143">
        <v>8</v>
      </c>
      <c r="C12" s="144" t="s">
        <v>106</v>
      </c>
      <c r="D12" s="149">
        <v>321</v>
      </c>
      <c r="E12" s="119">
        <v>3.3051894563426686E-2</v>
      </c>
      <c r="F12" s="149">
        <v>206</v>
      </c>
      <c r="G12" s="120">
        <v>2.0281579206458601E-2</v>
      </c>
      <c r="H12" s="134">
        <v>0.55825242718446599</v>
      </c>
      <c r="J12" s="80"/>
      <c r="K12" s="80"/>
      <c r="L12" s="80"/>
    </row>
    <row r="13" spans="2:12">
      <c r="B13" s="143">
        <v>9</v>
      </c>
      <c r="C13" s="144" t="s">
        <v>39</v>
      </c>
      <c r="D13" s="149">
        <v>306</v>
      </c>
      <c r="E13" s="119">
        <v>3.1507413509060958E-2</v>
      </c>
      <c r="F13" s="149">
        <v>536</v>
      </c>
      <c r="G13" s="120">
        <v>5.2771487643989368E-2</v>
      </c>
      <c r="H13" s="134">
        <v>-0.42910447761194026</v>
      </c>
      <c r="J13" s="80"/>
      <c r="K13" s="80"/>
      <c r="L13" s="80"/>
    </row>
    <row r="14" spans="2:12">
      <c r="B14" s="150">
        <v>10</v>
      </c>
      <c r="C14" s="151" t="s">
        <v>101</v>
      </c>
      <c r="D14" s="152">
        <v>294</v>
      </c>
      <c r="E14" s="153">
        <v>3.0271828665568368E-2</v>
      </c>
      <c r="F14" s="152">
        <v>350</v>
      </c>
      <c r="G14" s="154">
        <v>3.445899379738112E-2</v>
      </c>
      <c r="H14" s="155">
        <v>-0.16000000000000003</v>
      </c>
      <c r="J14" s="80"/>
      <c r="K14" s="80"/>
      <c r="L14" s="80"/>
    </row>
    <row r="15" spans="2:12">
      <c r="B15" s="205" t="s">
        <v>42</v>
      </c>
      <c r="C15" s="206"/>
      <c r="D15" s="159">
        <f>SUM(D5:D14)</f>
        <v>7331</v>
      </c>
      <c r="E15" s="110">
        <f>SUM(E5:E14)</f>
        <v>0.75483937397034595</v>
      </c>
      <c r="F15" s="176">
        <f>SUM(F5:F14)</f>
        <v>7515</v>
      </c>
      <c r="G15" s="110">
        <f>SUM(G5:G14)</f>
        <v>0.73988382396376884</v>
      </c>
      <c r="H15" s="101">
        <f>+D15/F15-1</f>
        <v>-2.4484364604125064E-2</v>
      </c>
    </row>
    <row r="16" spans="2:12">
      <c r="B16" s="207" t="s">
        <v>43</v>
      </c>
      <c r="C16" s="207"/>
      <c r="D16" s="176">
        <f>+D17-D15</f>
        <v>2381</v>
      </c>
      <c r="E16" s="110">
        <f>+D16/D17</f>
        <v>0.24516062602965405</v>
      </c>
      <c r="F16" s="176">
        <f>+F17-F15</f>
        <v>2642</v>
      </c>
      <c r="G16" s="110">
        <f>+F16/F17</f>
        <v>0.26011617603623116</v>
      </c>
      <c r="H16" s="100">
        <f>+D16/F16-1</f>
        <v>-9.8788796366389153E-2</v>
      </c>
      <c r="I16" s="147"/>
    </row>
    <row r="17" spans="2:8">
      <c r="B17" s="208" t="s">
        <v>18</v>
      </c>
      <c r="C17" s="208"/>
      <c r="D17" s="145">
        <v>9712</v>
      </c>
      <c r="E17" s="138">
        <v>1.0000000000000011</v>
      </c>
      <c r="F17" s="145">
        <v>10157</v>
      </c>
      <c r="G17" s="139">
        <v>0.999999999999999</v>
      </c>
      <c r="H17" s="140">
        <v>-4.3812149256670319E-2</v>
      </c>
    </row>
    <row r="18" spans="2:8" ht="12.75" customHeight="1">
      <c r="B18" s="231" t="s">
        <v>102</v>
      </c>
      <c r="C18" s="231"/>
      <c r="D18" s="231"/>
      <c r="E18" s="231"/>
      <c r="F18" s="231"/>
      <c r="G18" s="231"/>
      <c r="H18" s="231"/>
    </row>
    <row r="19" spans="2:8">
      <c r="B19" s="229" t="s">
        <v>72</v>
      </c>
      <c r="C19" s="229"/>
      <c r="D19" s="229"/>
      <c r="E19" s="229"/>
      <c r="F19" s="229"/>
      <c r="G19" s="229"/>
      <c r="H19" s="229"/>
    </row>
    <row r="20" spans="2:8">
      <c r="B20" s="229"/>
      <c r="C20" s="229"/>
      <c r="D20" s="229"/>
      <c r="E20" s="229"/>
      <c r="F20" s="229"/>
      <c r="G20" s="229"/>
      <c r="H20" s="229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41" type="noConversion"/>
  <conditionalFormatting sqref="H15:H16">
    <cfRule type="cellIs" dxfId="8" priority="75" operator="lessThan">
      <formula>0</formula>
    </cfRule>
  </conditionalFormatting>
  <conditionalFormatting sqref="H15:H16">
    <cfRule type="cellIs" dxfId="7" priority="74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0" zoomScaleNormal="90" workbookViewId="0">
      <selection activeCell="J3" sqref="J3:J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5" t="s">
        <v>88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4" ht="15.75" customHeight="1">
      <c r="A2" s="22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3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f>'R_PTW 2022vs2021'!B3-'R_PTW NEW 2022vs2021'!B3</f>
        <v>2855</v>
      </c>
      <c r="C3" s="1">
        <f>'R_PTW 2022vs2021'!C3-'R_PTW NEW 2022vs2021'!C3</f>
        <v>3810</v>
      </c>
      <c r="D3" s="1">
        <f>'R_PTW 2022vs2021'!D3-'R_PTW NEW 2022vs2021'!D3</f>
        <v>6696</v>
      </c>
      <c r="E3" s="1">
        <f>'R_PTW 2022vs2021'!E3-'R_PTW NEW 2022vs2021'!E3</f>
        <v>6795</v>
      </c>
      <c r="F3" s="1">
        <v>7438</v>
      </c>
      <c r="G3" s="1">
        <v>7071</v>
      </c>
      <c r="H3" s="1">
        <v>6571</v>
      </c>
      <c r="I3" s="1">
        <v>5398</v>
      </c>
      <c r="J3" s="1">
        <v>4265</v>
      </c>
      <c r="K3" s="1"/>
      <c r="L3" s="1"/>
      <c r="M3" s="1"/>
      <c r="N3" s="1">
        <f>SUM(B3:M3)</f>
        <v>50899</v>
      </c>
      <c r="O3" s="11">
        <f>N3/N5</f>
        <v>0.8364529753003237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f>'R_PTW 2022vs2021'!B4-'R_PTW NEW 2022vs2021'!B4</f>
        <v>491</v>
      </c>
      <c r="C4" s="1">
        <f>'R_PTW 2022vs2021'!C4-'R_PTW NEW 2022vs2021'!C4</f>
        <v>640</v>
      </c>
      <c r="D4" s="1">
        <f>'R_PTW 2022vs2021'!D4-'R_PTW NEW 2022vs2021'!D4</f>
        <v>1199</v>
      </c>
      <c r="E4" s="1">
        <f>'R_PTW 2022vs2021'!E4-'R_PTW NEW 2022vs2021'!E4</f>
        <v>1168</v>
      </c>
      <c r="F4" s="1">
        <v>1356</v>
      </c>
      <c r="G4" s="1">
        <v>1429</v>
      </c>
      <c r="H4" s="1">
        <v>1367</v>
      </c>
      <c r="I4" s="1">
        <v>1344</v>
      </c>
      <c r="J4" s="1">
        <v>958</v>
      </c>
      <c r="K4" s="1"/>
      <c r="L4" s="1"/>
      <c r="M4" s="1"/>
      <c r="N4" s="1">
        <f>SUM(B4:M4)</f>
        <v>9952</v>
      </c>
      <c r="O4" s="11">
        <f>N4/N5</f>
        <v>0.16354702469967625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108</v>
      </c>
      <c r="B5" s="5">
        <f>SUM(B3:B4)</f>
        <v>3346</v>
      </c>
      <c r="C5" s="5">
        <f>SUM(C3:C4)</f>
        <v>4450</v>
      </c>
      <c r="D5" s="5">
        <f>SUM(D3:D4)</f>
        <v>7895</v>
      </c>
      <c r="E5" s="5">
        <f>SUM(E3:E4)</f>
        <v>7963</v>
      </c>
      <c r="F5" s="5">
        <f t="shared" ref="F5:G5" si="0">SUM(F3:F4)</f>
        <v>8794</v>
      </c>
      <c r="G5" s="5">
        <f t="shared" si="0"/>
        <v>8500</v>
      </c>
      <c r="H5" s="5">
        <f t="shared" ref="H5:J5" si="1">SUM(H3:H4)</f>
        <v>7938</v>
      </c>
      <c r="I5" s="5">
        <f t="shared" si="1"/>
        <v>6742</v>
      </c>
      <c r="J5" s="5">
        <f t="shared" si="1"/>
        <v>5223</v>
      </c>
      <c r="K5" s="5"/>
      <c r="L5" s="5"/>
      <c r="M5" s="5"/>
      <c r="N5" s="5">
        <f>SUM(B5:M5)</f>
        <v>60851</v>
      </c>
      <c r="O5" s="11">
        <v>1</v>
      </c>
      <c r="T5" s="16" t="s">
        <v>86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6" t="s">
        <v>109</v>
      </c>
      <c r="B6" s="24">
        <f>B5/AF5-1</f>
        <v>4.7917319135609038E-2</v>
      </c>
      <c r="C6" s="24">
        <f>C5/B5-1</f>
        <v>0.32994620442319178</v>
      </c>
      <c r="D6" s="24">
        <f>D5/C5-1</f>
        <v>0.77415730337078648</v>
      </c>
      <c r="E6" s="24">
        <f>E5/D5-1</f>
        <v>8.6130462317923762E-3</v>
      </c>
      <c r="F6" s="24">
        <f t="shared" ref="F6:J6" si="2">F5/E5-1</f>
        <v>0.10435765415044584</v>
      </c>
      <c r="G6" s="24">
        <f t="shared" si="2"/>
        <v>-3.3431885376392967E-2</v>
      </c>
      <c r="H6" s="24">
        <f t="shared" si="2"/>
        <v>-6.6117647058823503E-2</v>
      </c>
      <c r="I6" s="24">
        <f t="shared" si="2"/>
        <v>-0.15066767447719831</v>
      </c>
      <c r="J6" s="24">
        <f t="shared" si="2"/>
        <v>-0.22530406407594183</v>
      </c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3.5592695759826709E-2</v>
      </c>
      <c r="C7" s="26">
        <f>C5/V5-1</f>
        <v>0.16706005769735111</v>
      </c>
      <c r="D7" s="26">
        <f>D5/W5-1</f>
        <v>-9.9071983947830455E-3</v>
      </c>
      <c r="E7" s="26">
        <f>E5/X5-1</f>
        <v>-7.6218097447795841E-2</v>
      </c>
      <c r="F7" s="26">
        <f t="shared" ref="F7:J7" si="3">F5/Y5-1</f>
        <v>2.8538011695906418E-2</v>
      </c>
      <c r="G7" s="26">
        <f t="shared" si="3"/>
        <v>1.1778563015312216E-3</v>
      </c>
      <c r="H7" s="26">
        <f t="shared" si="3"/>
        <v>1.6389244558258742E-2</v>
      </c>
      <c r="I7" s="26">
        <f t="shared" si="3"/>
        <v>9.7688049495278317E-2</v>
      </c>
      <c r="J7" s="26">
        <f t="shared" si="3"/>
        <v>2.5726630007855356E-2</v>
      </c>
      <c r="K7" s="26"/>
      <c r="L7" s="26"/>
      <c r="M7" s="26"/>
      <c r="N7" s="26">
        <f ca="1">+N5/F13-1</f>
        <v>1.8904256387930696E-2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7" t="s">
        <v>19</v>
      </c>
      <c r="B9" s="189" t="str">
        <f>'R_PTW 2022vs2021'!B9:C9</f>
        <v>WRZESIEŃ</v>
      </c>
      <c r="C9" s="190"/>
      <c r="D9" s="191" t="s">
        <v>5</v>
      </c>
      <c r="E9" s="193" t="str">
        <f>"ROK NARASTAJĄCO
STYCZEŃ-"&amp;B9</f>
        <v>ROK NARASTAJĄCO
STYCZEŃ-WRZESIEŃ</v>
      </c>
      <c r="F9" s="194"/>
      <c r="G9" s="198" t="s">
        <v>5</v>
      </c>
      <c r="N9" s="19"/>
      <c r="T9" s="63"/>
      <c r="U9" s="17"/>
      <c r="V9" s="17"/>
      <c r="AA9" s="3"/>
    </row>
    <row r="10" spans="1:34" ht="26.25" customHeight="1">
      <c r="A10" s="188"/>
      <c r="B10" s="60">
        <v>2022</v>
      </c>
      <c r="C10" s="60">
        <v>2021</v>
      </c>
      <c r="D10" s="192"/>
      <c r="E10" s="60">
        <v>2022</v>
      </c>
      <c r="F10" s="60">
        <v>2021</v>
      </c>
      <c r="G10" s="195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f ca="1">OFFSET(A3,,COUNTA(B3:M3),,)</f>
        <v>4265</v>
      </c>
      <c r="C11" s="21">
        <f ca="1">OFFSET(T3,,COUNTA(B3:M3),,)</f>
        <v>4222</v>
      </c>
      <c r="D11" s="20">
        <f ca="1">+B11/C11-1</f>
        <v>1.0184746565608638E-2</v>
      </c>
      <c r="E11" s="21">
        <f>N3</f>
        <v>50899</v>
      </c>
      <c r="F11" s="16">
        <f ca="1">SUM(OFFSET(U3,,,,COUNTA(B3:M3)))</f>
        <v>51093</v>
      </c>
      <c r="G11" s="20">
        <f ca="1">+E11/F11-1</f>
        <v>-3.7969976317695497E-3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f ca="1">OFFSET(A4,,COUNTA(B4:M4),,)</f>
        <v>958</v>
      </c>
      <c r="C12" s="21">
        <f ca="1">OFFSET(T4,,COUNTA(B4:M4),,)</f>
        <v>870</v>
      </c>
      <c r="D12" s="20">
        <f ca="1">+B12/C12-1</f>
        <v>0.10114942528735638</v>
      </c>
      <c r="E12" s="21">
        <f>N4</f>
        <v>9952</v>
      </c>
      <c r="F12" s="16">
        <f ca="1">SUM(OFFSET(U4,,,,COUNTA(B4:M4)))</f>
        <v>8629</v>
      </c>
      <c r="G12" s="20">
        <f ca="1">+E12/F12-1</f>
        <v>0.15332019932784791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f ca="1">SUM(B11:B12)</f>
        <v>5223</v>
      </c>
      <c r="C13" s="21">
        <f ca="1">SUM(C11:C12)</f>
        <v>5092</v>
      </c>
      <c r="D13" s="20">
        <f ca="1">+B13/C13-1</f>
        <v>2.5726630007855356E-2</v>
      </c>
      <c r="E13" s="21">
        <f>SUM(E11:E12)</f>
        <v>60851</v>
      </c>
      <c r="F13" s="21">
        <f ca="1">SUM(F11:F12)</f>
        <v>59722</v>
      </c>
      <c r="G13" s="20">
        <f ca="1">+E13/F13-1</f>
        <v>1.8904256387930696E-2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J25" sqref="J25:J26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9" t="s">
        <v>121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 ht="21" customHeight="1">
      <c r="A3" s="236" t="s">
        <v>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4" t="s">
        <v>89</v>
      </c>
      <c r="B5" s="233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  <c r="O5" s="9"/>
      <c r="R5" s="31"/>
    </row>
    <row r="6" spans="1:18" ht="13.5" customHeight="1">
      <c r="A6" s="124" t="s">
        <v>90</v>
      </c>
      <c r="B6" s="49">
        <f>'R_PTW NEW 2022vs2021'!U3</f>
        <v>410</v>
      </c>
      <c r="C6" s="49">
        <f>'R_PTW NEW 2022vs2021'!V3</f>
        <v>906</v>
      </c>
      <c r="D6" s="49">
        <f>'R_PTW NEW 2022vs2021'!W3</f>
        <v>2223</v>
      </c>
      <c r="E6" s="49">
        <f>'R_PTW NEW 2022vs2021'!X3</f>
        <v>2884</v>
      </c>
      <c r="F6" s="49">
        <f>'R_PTW NEW 2022vs2021'!Y3</f>
        <v>2963</v>
      </c>
      <c r="G6" s="49">
        <f>'R_PTW NEW 2022vs2021'!Z3</f>
        <v>2848</v>
      </c>
      <c r="H6" s="49">
        <f>'R_PTW NEW 2022vs2021'!AA3</f>
        <v>2423</v>
      </c>
      <c r="I6" s="49">
        <f>'R_PTW NEW 2022vs2021'!AB3</f>
        <v>1894</v>
      </c>
      <c r="J6" s="49">
        <f>'R_PTW NEW 2022vs2021'!AC3</f>
        <v>1461</v>
      </c>
      <c r="K6" s="49">
        <f>'R_PTW NEW 2022vs2021'!AD3</f>
        <v>1186</v>
      </c>
      <c r="L6" s="49">
        <f>'R_PTW NEW 2022vs2021'!AE3</f>
        <v>1071</v>
      </c>
      <c r="M6" s="49">
        <f>'R_PTW NEW 2022vs2021'!AF3</f>
        <v>1310</v>
      </c>
      <c r="N6" s="49">
        <f>SUM(B6:M6)</f>
        <v>21579</v>
      </c>
      <c r="O6" s="9"/>
      <c r="R6" s="31"/>
    </row>
    <row r="7" spans="1:18" ht="13.5" customHeight="1">
      <c r="A7" s="124" t="s">
        <v>91</v>
      </c>
      <c r="B7" s="49">
        <f>'R_PTW USED 2022vs2021'!U3</f>
        <v>2741</v>
      </c>
      <c r="C7" s="49">
        <f>'R_PTW USED 2022vs2021'!V3</f>
        <v>3345</v>
      </c>
      <c r="D7" s="49">
        <f>'R_PTW USED 2022vs2021'!W3</f>
        <v>7092</v>
      </c>
      <c r="E7" s="49">
        <f>'R_PTW USED 2022vs2021'!X3</f>
        <v>7568</v>
      </c>
      <c r="F7" s="49">
        <f>'R_PTW USED 2022vs2021'!Y3</f>
        <v>7325</v>
      </c>
      <c r="G7" s="49">
        <f>'R_PTW USED 2022vs2021'!Z3</f>
        <v>7293</v>
      </c>
      <c r="H7" s="49">
        <f>'R_PTW USED 2022vs2021'!AA3</f>
        <v>6505</v>
      </c>
      <c r="I7" s="49">
        <f>'R_PTW USED 2022vs2021'!AB3</f>
        <v>5002</v>
      </c>
      <c r="J7" s="49">
        <f>'R_PTW USED 2022vs2021'!AC3</f>
        <v>4222</v>
      </c>
      <c r="K7" s="49">
        <f>'R_PTW USED 2022vs2021'!AD3</f>
        <v>3570</v>
      </c>
      <c r="L7" s="49">
        <f>'R_PTW USED 2022vs2021'!AE3</f>
        <v>3038</v>
      </c>
      <c r="M7" s="49">
        <f>'R_PTW USED 2022vs2021'!AF3</f>
        <v>2673</v>
      </c>
      <c r="N7" s="49">
        <f>SUM(B7:M7)</f>
        <v>60374</v>
      </c>
      <c r="O7" s="9"/>
      <c r="R7" s="31"/>
    </row>
    <row r="8" spans="1:18" ht="13.5" customHeight="1">
      <c r="A8" s="52" t="s">
        <v>92</v>
      </c>
      <c r="B8" s="52">
        <f>B6+B7</f>
        <v>3151</v>
      </c>
      <c r="C8" s="52">
        <f t="shared" ref="C8:M8" si="0">C6+C7</f>
        <v>4251</v>
      </c>
      <c r="D8" s="52">
        <f t="shared" si="0"/>
        <v>9315</v>
      </c>
      <c r="E8" s="52">
        <f t="shared" si="0"/>
        <v>10452</v>
      </c>
      <c r="F8" s="52">
        <f t="shared" si="0"/>
        <v>10288</v>
      </c>
      <c r="G8" s="52">
        <f t="shared" si="0"/>
        <v>10141</v>
      </c>
      <c r="H8" s="52">
        <f t="shared" si="0"/>
        <v>8928</v>
      </c>
      <c r="I8" s="52">
        <f t="shared" si="0"/>
        <v>6896</v>
      </c>
      <c r="J8" s="52">
        <f t="shared" si="0"/>
        <v>5683</v>
      </c>
      <c r="K8" s="52">
        <f t="shared" si="0"/>
        <v>4756</v>
      </c>
      <c r="L8" s="52">
        <f t="shared" si="0"/>
        <v>4109</v>
      </c>
      <c r="M8" s="52">
        <f t="shared" si="0"/>
        <v>3983</v>
      </c>
      <c r="N8" s="52">
        <f>SUM(B8:M8)</f>
        <v>81953</v>
      </c>
      <c r="O8" s="9"/>
      <c r="R8" s="31"/>
    </row>
    <row r="9" spans="1:18" ht="13.5" customHeight="1">
      <c r="A9" s="124" t="s">
        <v>122</v>
      </c>
      <c r="B9" s="233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5"/>
      <c r="O9" s="9"/>
      <c r="R9" s="31"/>
    </row>
    <row r="10" spans="1:18">
      <c r="A10" s="124" t="s">
        <v>123</v>
      </c>
      <c r="B10" s="53">
        <f>'R_PTW NEW 2022vs2021'!B3</f>
        <v>856</v>
      </c>
      <c r="C10" s="53">
        <f>'R_PTW NEW 2022vs2021'!C3</f>
        <v>1276</v>
      </c>
      <c r="D10" s="53">
        <f>'R_PTW NEW 2022vs2021'!D3</f>
        <v>2828</v>
      </c>
      <c r="E10" s="53">
        <f>'R_PTW NEW 2022vs2021'!E3</f>
        <v>2875</v>
      </c>
      <c r="F10" s="53">
        <f>'R_PTW NEW 2022vs2021'!F3</f>
        <v>3412</v>
      </c>
      <c r="G10" s="53">
        <f>'R_PTW NEW 2022vs2021'!G3</f>
        <v>3241</v>
      </c>
      <c r="H10" s="53">
        <f>'R_PTW NEW 2022vs2021'!H3</f>
        <v>2715</v>
      </c>
      <c r="I10" s="53">
        <f>'R_PTW NEW 2022vs2021'!I3</f>
        <v>2326</v>
      </c>
      <c r="J10" s="53">
        <f>'R_PTW NEW 2022vs2021'!J3</f>
        <v>1469</v>
      </c>
      <c r="K10" s="53"/>
      <c r="L10" s="53"/>
      <c r="M10" s="53"/>
      <c r="N10" s="53">
        <f>SUM(B10:M10)</f>
        <v>20998</v>
      </c>
      <c r="O10" s="9"/>
      <c r="R10" s="31"/>
    </row>
    <row r="11" spans="1:18" s="15" customFormat="1">
      <c r="A11" s="124" t="s">
        <v>124</v>
      </c>
      <c r="B11" s="49">
        <f>'R_PTW USED 2022vs2021'!B3</f>
        <v>2855</v>
      </c>
      <c r="C11" s="49">
        <f>'R_PTW USED 2022vs2021'!C3</f>
        <v>3810</v>
      </c>
      <c r="D11" s="49">
        <f>'R_PTW USED 2022vs2021'!D3</f>
        <v>6696</v>
      </c>
      <c r="E11" s="49">
        <f>'R_PTW USED 2022vs2021'!E3</f>
        <v>6795</v>
      </c>
      <c r="F11" s="49">
        <f>'R_PTW USED 2022vs2021'!F3</f>
        <v>7438</v>
      </c>
      <c r="G11" s="49">
        <f>'R_PTW USED 2022vs2021'!G3</f>
        <v>7071</v>
      </c>
      <c r="H11" s="49">
        <f>'R_PTW USED 2022vs2021'!H3</f>
        <v>6571</v>
      </c>
      <c r="I11" s="49">
        <f>'R_PTW USED 2022vs2021'!I3</f>
        <v>5398</v>
      </c>
      <c r="J11" s="49">
        <f>'R_PTW USED 2022vs2021'!J3</f>
        <v>4265</v>
      </c>
      <c r="K11" s="49"/>
      <c r="L11" s="49"/>
      <c r="M11" s="49"/>
      <c r="N11" s="49">
        <f>SUM(B11:M11)</f>
        <v>50899</v>
      </c>
      <c r="O11" s="14"/>
      <c r="R11" s="31"/>
    </row>
    <row r="12" spans="1:18">
      <c r="A12" s="52" t="s">
        <v>125</v>
      </c>
      <c r="B12" s="54">
        <f>B10+B11</f>
        <v>3711</v>
      </c>
      <c r="C12" s="54">
        <f>C10+C11</f>
        <v>5086</v>
      </c>
      <c r="D12" s="54">
        <f>D10+D11</f>
        <v>9524</v>
      </c>
      <c r="E12" s="54">
        <f>E10+E11</f>
        <v>9670</v>
      </c>
      <c r="F12" s="54">
        <f t="shared" ref="F12:H12" si="1">F10+F11</f>
        <v>10850</v>
      </c>
      <c r="G12" s="54">
        <f t="shared" si="1"/>
        <v>10312</v>
      </c>
      <c r="H12" s="54">
        <f t="shared" si="1"/>
        <v>9286</v>
      </c>
      <c r="I12" s="54">
        <f t="shared" ref="I12:J12" si="2">I10+I11</f>
        <v>7724</v>
      </c>
      <c r="J12" s="54">
        <f t="shared" si="2"/>
        <v>5734</v>
      </c>
      <c r="K12" s="54"/>
      <c r="L12" s="54"/>
      <c r="M12" s="54"/>
      <c r="N12" s="54">
        <f>SUM(B12:M12)</f>
        <v>71897</v>
      </c>
      <c r="O12" s="11"/>
      <c r="R12" s="31"/>
    </row>
    <row r="13" spans="1:18">
      <c r="A13" s="55" t="s">
        <v>32</v>
      </c>
      <c r="B13" s="56">
        <f>+B12/B8-1</f>
        <v>0.17772135829895275</v>
      </c>
      <c r="C13" s="56">
        <f>+C12/C8-1</f>
        <v>0.19642437073629737</v>
      </c>
      <c r="D13" s="56">
        <f>+D12/D8-1</f>
        <v>2.2436929683306461E-2</v>
      </c>
      <c r="E13" s="56">
        <f>+E12/E8-1</f>
        <v>-7.4818216609261357E-2</v>
      </c>
      <c r="F13" s="56">
        <f t="shared" ref="F13:G13" si="3">+F12/F8-1</f>
        <v>5.4626749611197623E-2</v>
      </c>
      <c r="G13" s="56">
        <f t="shared" si="3"/>
        <v>1.6862242382408077E-2</v>
      </c>
      <c r="H13" s="56">
        <f t="shared" ref="H13:I13" si="4">+H12/H8-1</f>
        <v>4.0098566308243822E-2</v>
      </c>
      <c r="I13" s="56">
        <f t="shared" si="4"/>
        <v>0.12006960556844537</v>
      </c>
      <c r="J13" s="56">
        <f t="shared" ref="J13" si="5">+J12/J8-1</f>
        <v>8.9741333802568768E-3</v>
      </c>
      <c r="K13" s="56"/>
      <c r="L13" s="56"/>
      <c r="M13" s="56"/>
      <c r="N13" s="56">
        <f ca="1">+N12/SUM(OFFSET(B8,,,,COUNTA(B10:M10)))-1</f>
        <v>4.0402286375804897E-2</v>
      </c>
      <c r="P13" s="62"/>
      <c r="R13" s="31"/>
    </row>
    <row r="14" spans="1:18">
      <c r="A14" s="55" t="s">
        <v>31</v>
      </c>
      <c r="B14" s="56">
        <f t="shared" ref="B14:E15" si="6">+B10/B6-1</f>
        <v>1.0878048780487806</v>
      </c>
      <c r="C14" s="56">
        <f t="shared" si="6"/>
        <v>0.40838852097130252</v>
      </c>
      <c r="D14" s="56">
        <f t="shared" si="6"/>
        <v>0.27215474583895638</v>
      </c>
      <c r="E14" s="56">
        <f t="shared" si="6"/>
        <v>-3.1206657420249639E-3</v>
      </c>
      <c r="F14" s="56">
        <f t="shared" ref="F14:G14" si="7">+F10/F6-1</f>
        <v>0.15153560580492753</v>
      </c>
      <c r="G14" s="56">
        <f t="shared" si="7"/>
        <v>0.13799157303370779</v>
      </c>
      <c r="H14" s="56">
        <f t="shared" ref="H14:I14" si="8">+H10/H6-1</f>
        <v>0.12051176227816751</v>
      </c>
      <c r="I14" s="56">
        <f t="shared" si="8"/>
        <v>0.22808870116156288</v>
      </c>
      <c r="J14" s="56">
        <f t="shared" ref="J14" si="9">+J10/J6-1</f>
        <v>5.4757015742641357E-3</v>
      </c>
      <c r="K14" s="56"/>
      <c r="L14" s="56"/>
      <c r="M14" s="56"/>
      <c r="N14" s="56">
        <f ca="1">+N10/SUM(OFFSET(B6,,,,COUNTA(B10:M10)))-1</f>
        <v>0.16577836997557194</v>
      </c>
      <c r="R14" s="31"/>
    </row>
    <row r="15" spans="1:18">
      <c r="A15" s="55" t="s">
        <v>34</v>
      </c>
      <c r="B15" s="56">
        <f t="shared" si="6"/>
        <v>4.1590660342940566E-2</v>
      </c>
      <c r="C15" s="56">
        <f t="shared" si="6"/>
        <v>0.13901345291479816</v>
      </c>
      <c r="D15" s="56">
        <f t="shared" si="6"/>
        <v>-5.5837563451776595E-2</v>
      </c>
      <c r="E15" s="56">
        <f t="shared" si="6"/>
        <v>-0.10214059196617331</v>
      </c>
      <c r="F15" s="56">
        <f t="shared" ref="F15:G15" si="10">+F11/F7-1</f>
        <v>1.5426621160409493E-2</v>
      </c>
      <c r="G15" s="56">
        <f t="shared" si="10"/>
        <v>-3.0440148087206964E-2</v>
      </c>
      <c r="H15" s="56">
        <f t="shared" ref="H15:I15" si="11">+H11/H7-1</f>
        <v>1.0146041506533532E-2</v>
      </c>
      <c r="I15" s="56">
        <f t="shared" si="11"/>
        <v>7.9168332666933239E-2</v>
      </c>
      <c r="J15" s="56">
        <f t="shared" ref="J15" si="12">+J11/J7-1</f>
        <v>1.0184746565608638E-2</v>
      </c>
      <c r="K15" s="56"/>
      <c r="L15" s="56"/>
      <c r="M15" s="56"/>
      <c r="N15" s="56">
        <f ca="1">+N11/SUM(OFFSET(B7,,,,COUNTA(B10:M10)))-1</f>
        <v>-3.7969976317695497E-3</v>
      </c>
      <c r="R15" s="31"/>
    </row>
    <row r="16" spans="1:18">
      <c r="A16" s="55" t="s">
        <v>25</v>
      </c>
      <c r="B16" s="56">
        <f>+B10/B12</f>
        <v>0.23066558879008353</v>
      </c>
      <c r="C16" s="56">
        <f>+C10/C12</f>
        <v>0.25088478175383405</v>
      </c>
      <c r="D16" s="56">
        <f>+D10/D12</f>
        <v>0.29693406131877365</v>
      </c>
      <c r="E16" s="56">
        <f>+E10/E12</f>
        <v>0.29731127197518098</v>
      </c>
      <c r="F16" s="56">
        <f t="shared" ref="F16:G16" si="13">+F10/F12</f>
        <v>0.31447004608294932</v>
      </c>
      <c r="G16" s="56">
        <f t="shared" si="13"/>
        <v>0.31429402637703646</v>
      </c>
      <c r="H16" s="56">
        <f t="shared" ref="H16:I16" si="14">+H10/H12</f>
        <v>0.29237561921171656</v>
      </c>
      <c r="I16" s="56">
        <f t="shared" si="14"/>
        <v>0.30113930605903677</v>
      </c>
      <c r="J16" s="56">
        <f t="shared" ref="J16" si="15">+J10/J12</f>
        <v>0.2561911405650506</v>
      </c>
      <c r="K16" s="56"/>
      <c r="L16" s="56"/>
      <c r="M16" s="56"/>
      <c r="N16" s="56">
        <f>+N10/N12</f>
        <v>0.2920566922124706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6" t="s">
        <v>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4" t="s">
        <v>89</v>
      </c>
      <c r="B20" s="233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/>
      <c r="O20" s="9"/>
      <c r="R20" s="31"/>
    </row>
    <row r="21" spans="1:18">
      <c r="A21" s="124" t="s">
        <v>93</v>
      </c>
      <c r="B21" s="75">
        <f>'R_PTW NEW 2022vs2021'!U4</f>
        <v>301</v>
      </c>
      <c r="C21" s="75">
        <f>'R_PTW NEW 2022vs2021'!V4</f>
        <v>401</v>
      </c>
      <c r="D21" s="75">
        <f>'R_PTW NEW 2022vs2021'!W4</f>
        <v>902</v>
      </c>
      <c r="E21" s="75">
        <f>'R_PTW NEW 2022vs2021'!X4</f>
        <v>1140</v>
      </c>
      <c r="F21" s="75">
        <f>'R_PTW NEW 2022vs2021'!Y4</f>
        <v>1457</v>
      </c>
      <c r="G21" s="75">
        <f>'R_PTW NEW 2022vs2021'!Z4</f>
        <v>1691</v>
      </c>
      <c r="H21" s="75">
        <f>'R_PTW NEW 2022vs2021'!AA4</f>
        <v>1693</v>
      </c>
      <c r="I21" s="75">
        <f>'R_PTW NEW 2022vs2021'!AB4</f>
        <v>1475</v>
      </c>
      <c r="J21" s="75">
        <f>'R_PTW NEW 2022vs2021'!AC4</f>
        <v>1097</v>
      </c>
      <c r="K21" s="75">
        <f>'R_PTW NEW 2022vs2021'!AD4</f>
        <v>849</v>
      </c>
      <c r="L21" s="75">
        <f>'R_PTW NEW 2022vs2021'!AE4</f>
        <v>671</v>
      </c>
      <c r="M21" s="75">
        <f>'R_PTW NEW 2022vs2021'!AF4</f>
        <v>1033</v>
      </c>
      <c r="N21" s="49">
        <f>SUM(B21:M21)</f>
        <v>12710</v>
      </c>
      <c r="O21" s="9"/>
      <c r="R21" s="31"/>
    </row>
    <row r="22" spans="1:18">
      <c r="A22" s="124" t="s">
        <v>94</v>
      </c>
      <c r="B22" s="49">
        <f>'R_PTW USED 2022vs2021'!U4</f>
        <v>490</v>
      </c>
      <c r="C22" s="49">
        <f>'R_PTW USED 2022vs2021'!V4</f>
        <v>468</v>
      </c>
      <c r="D22" s="49">
        <f>'R_PTW USED 2022vs2021'!W4</f>
        <v>882</v>
      </c>
      <c r="E22" s="49">
        <f>'R_PTW USED 2022vs2021'!X4</f>
        <v>1052</v>
      </c>
      <c r="F22" s="49">
        <f>'R_PTW USED 2022vs2021'!Y4</f>
        <v>1225</v>
      </c>
      <c r="G22" s="49">
        <f>'R_PTW USED 2022vs2021'!Z4</f>
        <v>1197</v>
      </c>
      <c r="H22" s="49">
        <f>'R_PTW USED 2022vs2021'!AA4</f>
        <v>1305</v>
      </c>
      <c r="I22" s="49">
        <f>'R_PTW USED 2022vs2021'!AB4</f>
        <v>1140</v>
      </c>
      <c r="J22" s="49">
        <f>'R_PTW USED 2022vs2021'!AC4</f>
        <v>870</v>
      </c>
      <c r="K22" s="49">
        <f>'R_PTW USED 2022vs2021'!AD4</f>
        <v>626</v>
      </c>
      <c r="L22" s="49">
        <f>'R_PTW USED 2022vs2021'!AE4</f>
        <v>539</v>
      </c>
      <c r="M22" s="49">
        <f>'R_PTW USED 2022vs2021'!AF4</f>
        <v>520</v>
      </c>
      <c r="N22" s="49">
        <f>SUM(B22:M22)</f>
        <v>10314</v>
      </c>
      <c r="O22" s="9"/>
      <c r="R22" s="31"/>
    </row>
    <row r="23" spans="1:18">
      <c r="A23" s="52" t="s">
        <v>95</v>
      </c>
      <c r="B23" s="52">
        <f>B22+B21</f>
        <v>791</v>
      </c>
      <c r="C23" s="52">
        <f t="shared" ref="C23:M23" si="16">C22+C21</f>
        <v>869</v>
      </c>
      <c r="D23" s="52">
        <f t="shared" si="16"/>
        <v>1784</v>
      </c>
      <c r="E23" s="52">
        <f t="shared" si="16"/>
        <v>2192</v>
      </c>
      <c r="F23" s="52">
        <f t="shared" si="16"/>
        <v>2682</v>
      </c>
      <c r="G23" s="52">
        <f t="shared" si="16"/>
        <v>2888</v>
      </c>
      <c r="H23" s="52">
        <f t="shared" si="16"/>
        <v>2998</v>
      </c>
      <c r="I23" s="52">
        <f t="shared" si="16"/>
        <v>2615</v>
      </c>
      <c r="J23" s="52">
        <f t="shared" si="16"/>
        <v>1967</v>
      </c>
      <c r="K23" s="52">
        <f t="shared" si="16"/>
        <v>1475</v>
      </c>
      <c r="L23" s="52">
        <f t="shared" si="16"/>
        <v>1210</v>
      </c>
      <c r="M23" s="52">
        <f t="shared" si="16"/>
        <v>1553</v>
      </c>
      <c r="N23" s="52">
        <f>SUM(B23:M23)</f>
        <v>23024</v>
      </c>
      <c r="O23" s="9"/>
      <c r="R23" s="31"/>
    </row>
    <row r="24" spans="1:18">
      <c r="A24" s="124" t="s">
        <v>122</v>
      </c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/>
      <c r="O24" s="9"/>
      <c r="R24" s="31"/>
    </row>
    <row r="25" spans="1:18">
      <c r="A25" s="124" t="s">
        <v>126</v>
      </c>
      <c r="B25" s="53">
        <f>'R_PTW NEW 2022vs2021'!B4</f>
        <v>355</v>
      </c>
      <c r="C25" s="53">
        <f>'R_PTW NEW 2022vs2021'!C4</f>
        <v>496</v>
      </c>
      <c r="D25" s="53">
        <f>'R_PTW NEW 2022vs2021'!D4</f>
        <v>1041</v>
      </c>
      <c r="E25" s="53">
        <f>'R_PTW NEW 2022vs2021'!E4</f>
        <v>1207</v>
      </c>
      <c r="F25" s="53">
        <f>'R_PTW NEW 2022vs2021'!F4</f>
        <v>1469</v>
      </c>
      <c r="G25" s="53">
        <f>'R_PTW NEW 2022vs2021'!G4</f>
        <v>1513</v>
      </c>
      <c r="H25" s="53">
        <f>'R_PTW NEW 2022vs2021'!H4</f>
        <v>1390</v>
      </c>
      <c r="I25" s="53">
        <f>'R_PTW NEW 2022vs2021'!I4</f>
        <v>1276</v>
      </c>
      <c r="J25" s="53">
        <f>'R_PTW NEW 2022vs2021'!J4</f>
        <v>965</v>
      </c>
      <c r="K25" s="53"/>
      <c r="L25" s="53"/>
      <c r="M25" s="53"/>
      <c r="N25" s="53">
        <f>SUM(B25:M25)</f>
        <v>9712</v>
      </c>
      <c r="O25" s="9"/>
      <c r="R25" s="31"/>
    </row>
    <row r="26" spans="1:18" s="15" customFormat="1">
      <c r="A26" s="124" t="s">
        <v>127</v>
      </c>
      <c r="B26" s="49">
        <f>'R_PTW USED 2022vs2021'!B4</f>
        <v>491</v>
      </c>
      <c r="C26" s="49">
        <f>'R_PTW USED 2022vs2021'!C4</f>
        <v>640</v>
      </c>
      <c r="D26" s="49">
        <f>'R_PTW USED 2022vs2021'!D4</f>
        <v>1199</v>
      </c>
      <c r="E26" s="49">
        <f>'R_PTW USED 2022vs2021'!E4</f>
        <v>1168</v>
      </c>
      <c r="F26" s="49">
        <f>'R_PTW USED 2022vs2021'!F4</f>
        <v>1356</v>
      </c>
      <c r="G26" s="49">
        <f>'R_PTW USED 2022vs2021'!G4</f>
        <v>1429</v>
      </c>
      <c r="H26" s="49">
        <f>'R_PTW USED 2022vs2021'!H4</f>
        <v>1367</v>
      </c>
      <c r="I26" s="49">
        <f>'R_PTW USED 2022vs2021'!I4</f>
        <v>1344</v>
      </c>
      <c r="J26" s="49">
        <f>'R_PTW USED 2022vs2021'!J4</f>
        <v>958</v>
      </c>
      <c r="K26" s="49"/>
      <c r="L26" s="49"/>
      <c r="M26" s="49"/>
      <c r="N26" s="49">
        <f>SUM(B26:M26)</f>
        <v>9952</v>
      </c>
      <c r="O26" s="14"/>
      <c r="R26" s="31"/>
    </row>
    <row r="27" spans="1:18">
      <c r="A27" s="52" t="s">
        <v>128</v>
      </c>
      <c r="B27" s="54">
        <f>B26+B25</f>
        <v>846</v>
      </c>
      <c r="C27" s="54">
        <f>C26+C25</f>
        <v>1136</v>
      </c>
      <c r="D27" s="54">
        <f>D26+D25</f>
        <v>2240</v>
      </c>
      <c r="E27" s="54">
        <f>E26+E25</f>
        <v>2375</v>
      </c>
      <c r="F27" s="54">
        <f t="shared" ref="F27:G27" si="17">F26+F25</f>
        <v>2825</v>
      </c>
      <c r="G27" s="54">
        <f t="shared" si="17"/>
        <v>2942</v>
      </c>
      <c r="H27" s="54">
        <f t="shared" ref="H27:J27" si="18">H26+H25</f>
        <v>2757</v>
      </c>
      <c r="I27" s="54">
        <f t="shared" si="18"/>
        <v>2620</v>
      </c>
      <c r="J27" s="54">
        <f t="shared" si="18"/>
        <v>1923</v>
      </c>
      <c r="K27" s="54"/>
      <c r="L27" s="54"/>
      <c r="M27" s="54"/>
      <c r="N27" s="54">
        <f>SUM(B27:M27)</f>
        <v>19664</v>
      </c>
      <c r="O27" s="11"/>
    </row>
    <row r="28" spans="1:18">
      <c r="A28" s="55" t="s">
        <v>33</v>
      </c>
      <c r="B28" s="56">
        <f>+B27/B23-1</f>
        <v>6.9532237673830544E-2</v>
      </c>
      <c r="C28" s="56">
        <f>+C27/C23-1</f>
        <v>0.30724971231300335</v>
      </c>
      <c r="D28" s="56">
        <f>+D27/D23-1</f>
        <v>0.25560538116591935</v>
      </c>
      <c r="E28" s="56">
        <f>+E27/E23-1</f>
        <v>8.3485401459854058E-2</v>
      </c>
      <c r="F28" s="56">
        <f t="shared" ref="F28:G28" si="19">+F27/F23-1</f>
        <v>5.3318419090231162E-2</v>
      </c>
      <c r="G28" s="56">
        <f t="shared" si="19"/>
        <v>1.8698060941828354E-2</v>
      </c>
      <c r="H28" s="56">
        <f t="shared" ref="H28:I28" si="20">+H27/H23-1</f>
        <v>-8.0386924616410949E-2</v>
      </c>
      <c r="I28" s="56">
        <f t="shared" si="20"/>
        <v>1.9120458891013214E-3</v>
      </c>
      <c r="J28" s="56">
        <f t="shared" ref="J28" si="21">+J27/J23-1</f>
        <v>-2.2369089984748403E-2</v>
      </c>
      <c r="K28" s="56"/>
      <c r="L28" s="56"/>
      <c r="M28" s="56"/>
      <c r="N28" s="56">
        <f ca="1">+N27/SUM(OFFSET(B23,,,,COUNTA(B25:M25)))-1</f>
        <v>4.6736931757692002E-2</v>
      </c>
      <c r="O28" s="11"/>
    </row>
    <row r="29" spans="1:18">
      <c r="A29" s="55" t="s">
        <v>31</v>
      </c>
      <c r="B29" s="56">
        <f t="shared" ref="B29:E30" si="22">+B25/B21-1</f>
        <v>0.17940199335548179</v>
      </c>
      <c r="C29" s="56">
        <f t="shared" si="22"/>
        <v>0.23690773067331672</v>
      </c>
      <c r="D29" s="56">
        <f t="shared" si="22"/>
        <v>0.15410199556541015</v>
      </c>
      <c r="E29" s="56">
        <f t="shared" si="22"/>
        <v>5.8771929824561475E-2</v>
      </c>
      <c r="F29" s="56">
        <f t="shared" ref="F29:G29" si="23">+F25/F21-1</f>
        <v>8.2361015785861191E-3</v>
      </c>
      <c r="G29" s="56">
        <f t="shared" si="23"/>
        <v>-0.10526315789473684</v>
      </c>
      <c r="H29" s="56">
        <f t="shared" ref="H29:I29" si="24">+H25/H21-1</f>
        <v>-0.1789722386296515</v>
      </c>
      <c r="I29" s="56">
        <f t="shared" si="24"/>
        <v>-0.13491525423728812</v>
      </c>
      <c r="J29" s="56">
        <f t="shared" ref="J29" si="25">+J25/J21-1</f>
        <v>-0.12032816773017319</v>
      </c>
      <c r="K29" s="56"/>
      <c r="L29" s="56"/>
      <c r="M29" s="56"/>
      <c r="N29" s="56">
        <f ca="1">+N25/SUM(OFFSET(B21,,,,COUNTA(B25:M25)))-1</f>
        <v>-4.3812149256670319E-2</v>
      </c>
      <c r="O29" s="11"/>
    </row>
    <row r="30" spans="1:18">
      <c r="A30" s="55" t="s">
        <v>34</v>
      </c>
      <c r="B30" s="56">
        <f t="shared" si="22"/>
        <v>2.0408163265306367E-3</v>
      </c>
      <c r="C30" s="56">
        <f t="shared" si="22"/>
        <v>0.36752136752136755</v>
      </c>
      <c r="D30" s="56">
        <f t="shared" si="22"/>
        <v>0.35941043083900226</v>
      </c>
      <c r="E30" s="56">
        <f t="shared" si="22"/>
        <v>0.11026615969581743</v>
      </c>
      <c r="F30" s="56">
        <f t="shared" ref="F30:G30" si="26">+F26/F22-1</f>
        <v>0.10693877551020403</v>
      </c>
      <c r="G30" s="56">
        <f t="shared" si="26"/>
        <v>0.19381787802840433</v>
      </c>
      <c r="H30" s="56">
        <f t="shared" ref="H30:I30" si="27">+H26/H22-1</f>
        <v>4.7509578544061348E-2</v>
      </c>
      <c r="I30" s="56">
        <f t="shared" si="27"/>
        <v>0.17894736842105252</v>
      </c>
      <c r="J30" s="56">
        <f t="shared" ref="J30" si="28">+J26/J22-1</f>
        <v>0.10114942528735638</v>
      </c>
      <c r="K30" s="56"/>
      <c r="L30" s="56"/>
      <c r="M30" s="56"/>
      <c r="N30" s="56">
        <f ca="1">+N26/SUM(OFFSET(B22,,,,COUNTA(B25:M25)))-1</f>
        <v>0.15332019932784791</v>
      </c>
      <c r="O30" s="11"/>
    </row>
    <row r="31" spans="1:18">
      <c r="A31" s="55" t="s">
        <v>26</v>
      </c>
      <c r="B31" s="56">
        <f>+B25/B27</f>
        <v>0.41962174940898345</v>
      </c>
      <c r="C31" s="56">
        <f>+C25/C27</f>
        <v>0.43661971830985913</v>
      </c>
      <c r="D31" s="56">
        <f>+D25/D27</f>
        <v>0.46473214285714287</v>
      </c>
      <c r="E31" s="56">
        <f>+E25/E27</f>
        <v>0.50821052631578945</v>
      </c>
      <c r="F31" s="56">
        <f t="shared" ref="F31:G31" si="29">+F25/F27</f>
        <v>0.52</v>
      </c>
      <c r="G31" s="56">
        <f t="shared" si="29"/>
        <v>0.51427600271923857</v>
      </c>
      <c r="H31" s="56">
        <f t="shared" ref="H31:I31" si="30">+H25/H27</f>
        <v>0.50417120058034093</v>
      </c>
      <c r="I31" s="56">
        <f t="shared" si="30"/>
        <v>0.4870229007633588</v>
      </c>
      <c r="J31" s="56">
        <f t="shared" ref="J31" si="31">+J25/J27</f>
        <v>0.50182007280291208</v>
      </c>
      <c r="K31" s="56"/>
      <c r="L31" s="56"/>
      <c r="M31" s="56"/>
      <c r="N31" s="56">
        <f>+N25/N27</f>
        <v>0.49389747762408465</v>
      </c>
    </row>
    <row r="34" spans="1:7" ht="33" customHeight="1">
      <c r="A34" s="187" t="s">
        <v>53</v>
      </c>
      <c r="B34" s="189" t="str">
        <f>'R_PTW 2022vs2021'!B9:C9</f>
        <v>WRZESIEŃ</v>
      </c>
      <c r="C34" s="190"/>
      <c r="D34" s="191" t="s">
        <v>5</v>
      </c>
      <c r="E34" s="193" t="str">
        <f>"ROK NARASTAJĄCO
STYCZEŃ-"&amp;B34</f>
        <v>ROK NARASTAJĄCO
STYCZEŃ-WRZESIEŃ</v>
      </c>
      <c r="F34" s="194"/>
      <c r="G34" s="191" t="s">
        <v>5</v>
      </c>
    </row>
    <row r="35" spans="1:7" ht="16.5" customHeight="1">
      <c r="A35" s="188"/>
      <c r="B35" s="60">
        <v>2022</v>
      </c>
      <c r="C35" s="60">
        <v>2021</v>
      </c>
      <c r="D35" s="192"/>
      <c r="E35" s="60">
        <v>2022</v>
      </c>
      <c r="F35" s="60">
        <v>2021</v>
      </c>
      <c r="G35" s="192"/>
    </row>
    <row r="36" spans="1:7" ht="16.5" customHeight="1">
      <c r="A36" s="16" t="s">
        <v>54</v>
      </c>
      <c r="B36" s="87">
        <f ca="1">OFFSET(A10,,COUNTA(B28:M28),,)</f>
        <v>1469</v>
      </c>
      <c r="C36" s="87">
        <f ca="1">OFFSET(A6,,COUNTA(B28:M28),,)</f>
        <v>1461</v>
      </c>
      <c r="D36" s="74">
        <f ca="1">+B36/C36-1</f>
        <v>5.4757015742641357E-3</v>
      </c>
      <c r="E36" s="87">
        <f>N10</f>
        <v>20998</v>
      </c>
      <c r="F36" s="87">
        <f ca="1">SUM(OFFSET(B6,,,,COUNTA(B28:M28)))</f>
        <v>18012</v>
      </c>
      <c r="G36" s="74">
        <f ca="1">+E36/F36-1</f>
        <v>0.16577836997557194</v>
      </c>
    </row>
    <row r="37" spans="1:7" ht="16.5" customHeight="1">
      <c r="A37" s="16" t="s">
        <v>55</v>
      </c>
      <c r="B37" s="87">
        <f ca="1">OFFSET(A11,,COUNTA(B29:M29),,)</f>
        <v>4265</v>
      </c>
      <c r="C37" s="87">
        <f ca="1">OFFSET(A7,,COUNTA(B29:M29),,)</f>
        <v>4222</v>
      </c>
      <c r="D37" s="74">
        <f ca="1">+B37/C37-1</f>
        <v>1.0184746565608638E-2</v>
      </c>
      <c r="E37" s="87">
        <f>N11</f>
        <v>50899</v>
      </c>
      <c r="F37" s="87">
        <f ca="1">SUM(OFFSET(B7,,,,COUNTA(B29:M29)))</f>
        <v>51093</v>
      </c>
      <c r="G37" s="74">
        <f ca="1">+E37/F37-1</f>
        <v>-3.7969976317695497E-3</v>
      </c>
    </row>
    <row r="38" spans="1:7" ht="16.5" customHeight="1">
      <c r="A38" s="69" t="s">
        <v>18</v>
      </c>
      <c r="B38" s="87">
        <f ca="1">SUM(B36:B37)</f>
        <v>5734</v>
      </c>
      <c r="C38" s="87">
        <f ca="1">SUM(C36:C37)</f>
        <v>5683</v>
      </c>
      <c r="D38" s="74">
        <f ca="1">+B38/C38-1</f>
        <v>8.9741333802568768E-3</v>
      </c>
      <c r="E38" s="87">
        <f>SUM(E36:E37)</f>
        <v>71897</v>
      </c>
      <c r="F38" s="87">
        <f ca="1">SUM(F36:F37)</f>
        <v>69105</v>
      </c>
      <c r="G38" s="74">
        <f ca="1">+E38/F38-1</f>
        <v>4.0402286375804897E-2</v>
      </c>
    </row>
    <row r="41" spans="1:7" ht="33" customHeight="1">
      <c r="A41" s="187" t="s">
        <v>56</v>
      </c>
      <c r="B41" s="189" t="str">
        <f>B34</f>
        <v>WRZESIEŃ</v>
      </c>
      <c r="C41" s="190"/>
      <c r="D41" s="191" t="s">
        <v>5</v>
      </c>
      <c r="E41" s="193" t="str">
        <f>"ROK NARASTAJĄCO
STYCZEŃ-"&amp;B41</f>
        <v>ROK NARASTAJĄCO
STYCZEŃ-WRZESIEŃ</v>
      </c>
      <c r="F41" s="194"/>
      <c r="G41" s="191" t="s">
        <v>5</v>
      </c>
    </row>
    <row r="42" spans="1:7" ht="15.75" customHeight="1">
      <c r="A42" s="188"/>
      <c r="B42" s="60">
        <v>2022</v>
      </c>
      <c r="C42" s="60">
        <v>2021</v>
      </c>
      <c r="D42" s="192"/>
      <c r="E42" s="60">
        <v>2022</v>
      </c>
      <c r="F42" s="60">
        <v>2021</v>
      </c>
      <c r="G42" s="192"/>
    </row>
    <row r="43" spans="1:7" ht="15.75" customHeight="1">
      <c r="A43" s="91" t="s">
        <v>54</v>
      </c>
      <c r="B43" s="87">
        <f ca="1">OFFSET(A25,,COUNTA(B28:M28),,)</f>
        <v>965</v>
      </c>
      <c r="C43" s="87">
        <f ca="1">OFFSET(A21,,COUNTA(B28:M28),,)</f>
        <v>1097</v>
      </c>
      <c r="D43" s="74">
        <f ca="1">+B43/C43-1</f>
        <v>-0.12032816773017319</v>
      </c>
      <c r="E43" s="87">
        <f>N25</f>
        <v>9712</v>
      </c>
      <c r="F43" s="87">
        <f ca="1">SUM(OFFSET(B21,,,,COUNTA(B28:M28)))</f>
        <v>10157</v>
      </c>
      <c r="G43" s="74">
        <f ca="1">+E43/F43-1</f>
        <v>-4.3812149256670319E-2</v>
      </c>
    </row>
    <row r="44" spans="1:7" ht="15.75" customHeight="1">
      <c r="A44" s="91" t="s">
        <v>55</v>
      </c>
      <c r="B44" s="87">
        <f ca="1">OFFSET(A26,,COUNTA(B29:M29),,)</f>
        <v>958</v>
      </c>
      <c r="C44" s="87">
        <f ca="1">OFFSET(A22,,COUNTA(B29:M29),,)</f>
        <v>870</v>
      </c>
      <c r="D44" s="74">
        <f ca="1">+B44/C44-1</f>
        <v>0.10114942528735638</v>
      </c>
      <c r="E44" s="87">
        <f>N26</f>
        <v>9952</v>
      </c>
      <c r="F44" s="87">
        <f ca="1">SUM(OFFSET(B22,,,,COUNTA(B29:M29)))</f>
        <v>8629</v>
      </c>
      <c r="G44" s="74">
        <f ca="1">+E44/F44-1</f>
        <v>0.15332019932784791</v>
      </c>
    </row>
    <row r="45" spans="1:7" ht="15.75" customHeight="1">
      <c r="A45" s="92" t="s">
        <v>18</v>
      </c>
      <c r="B45" s="87">
        <f ca="1">SUM(B43:B44)</f>
        <v>1923</v>
      </c>
      <c r="C45" s="87">
        <f ca="1">SUM(C43:C44)</f>
        <v>1967</v>
      </c>
      <c r="D45" s="74">
        <f ca="1">+B45/C45-1</f>
        <v>-2.2369089984748403E-2</v>
      </c>
      <c r="E45" s="87">
        <f>SUM(E43:E44)</f>
        <v>19664</v>
      </c>
      <c r="F45" s="87">
        <f ca="1">SUM(F43:F44)</f>
        <v>18786</v>
      </c>
      <c r="G45" s="74">
        <f ca="1">+E45/F45-1</f>
        <v>4.6736931757692002E-2</v>
      </c>
    </row>
    <row r="49" spans="1:14">
      <c r="A49" s="8" t="s">
        <v>102</v>
      </c>
    </row>
    <row r="52" spans="1:14" ht="43.5" customHeight="1">
      <c r="A52" s="232" t="s">
        <v>76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7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2022-10-04T13:00:33Z</dcterms:modified>
</cp:coreProperties>
</file>